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sheet1" sheetId="12" r:id="rId1"/>
  </sheets>
  <definedNames>
    <definedName name="_xlnm._FilterDatabase" localSheetId="0" hidden="1">sheet1!$A$1:$G$119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<sst xmlns="http://schemas.openxmlformats.org/spreadsheetml/2006/main" count="256" uniqueCount="34">
  <si>
    <t>2022年度黄山市市直中小学新任教师公开招聘专业测试及总成绩表</t>
  </si>
  <si>
    <t>岗位代码</t>
  </si>
  <si>
    <t>岗位名称</t>
  </si>
  <si>
    <t>招聘单位</t>
  </si>
  <si>
    <t>座位号</t>
  </si>
  <si>
    <t>最终笔试成绩</t>
  </si>
  <si>
    <t>专业测试成绩</t>
  </si>
  <si>
    <t>总成绩</t>
  </si>
  <si>
    <t>初中道德与法治</t>
  </si>
  <si>
    <t>黄山市屯溪第三中学</t>
  </si>
  <si>
    <t>初中体育</t>
  </si>
  <si>
    <t>黄山市屯溪第四中学</t>
  </si>
  <si>
    <t>缺考</t>
  </si>
  <si>
    <t>初中英语</t>
  </si>
  <si>
    <t>初中历史</t>
  </si>
  <si>
    <t>初中语文</t>
  </si>
  <si>
    <t>初中数学</t>
  </si>
  <si>
    <t>黄山市屯溪第五中学</t>
  </si>
  <si>
    <t>初中生物</t>
  </si>
  <si>
    <t>黄山市屯溪第六中学</t>
  </si>
  <si>
    <t>初中化学</t>
  </si>
  <si>
    <t>初中心理健康</t>
  </si>
  <si>
    <t>小学科学</t>
  </si>
  <si>
    <t>黄山市新城实验学校</t>
  </si>
  <si>
    <t>小学数学</t>
  </si>
  <si>
    <t>小学语文</t>
  </si>
  <si>
    <t>小学英语</t>
  </si>
  <si>
    <t>黄山市梅林实验学校</t>
  </si>
  <si>
    <t>小学体育</t>
  </si>
  <si>
    <t>黄山育才学校</t>
  </si>
  <si>
    <t>黄山市实验小学</t>
  </si>
  <si>
    <t>小学美术</t>
  </si>
  <si>
    <t>黄山市特殊教育学校</t>
  </si>
  <si>
    <t>黄山市新潭小学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</si>
</sst>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9"/>
  <sheetViews>
    <sheetView tabSelected="1" workbookViewId="0">
      <pane ySplit="2" topLeftCell="A42" activePane="bottomLeft" state="frozen"/>
      <selection/>
      <selection pane="bottomLeft" activeCell="F63" sqref="F63"/>
    </sheetView>
  </sheetViews>
  <sheetFormatPr defaultColWidth="8.725" defaultRowHeight="13.5" outlineLevelCol="6"/>
  <cols>
    <col min="1" max="1" width="11.2583333333333" customWidth="1"/>
    <col min="2" max="2" width="14.875" customWidth="1"/>
    <col min="3" max="3" width="20.125" customWidth="1"/>
    <col min="4" max="4" width="14.125" customWidth="1"/>
    <col min="5" max="5" width="13.25" customWidth="1"/>
    <col min="6" max="6" width="14.425" style="2" customWidth="1"/>
    <col min="7" max="7" width="8.6" style="2" customWidth="1"/>
  </cols>
  <sheetData>
    <row r="1" ht="22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</row>
    <row r="3" s="1" customFormat="1" spans="1:7">
      <c r="A3" s="7" t="str">
        <f>"341001001"</f>
        <v>341001001</v>
      </c>
      <c r="B3" s="7" t="s">
        <v>8</v>
      </c>
      <c r="C3" s="7" t="s">
        <v>9</v>
      </c>
      <c r="D3" s="8" t="str">
        <f>"223410031420"</f>
        <v>223410031420</v>
      </c>
      <c r="E3" s="9">
        <v>83.8</v>
      </c>
      <c r="F3" s="10">
        <v>85.83</v>
      </c>
      <c r="G3" s="10">
        <f>E3/1.2*0.6+F3*0.4</f>
        <v>76.232</v>
      </c>
    </row>
    <row r="4" s="1" customFormat="1" spans="1:7">
      <c r="A4" s="7" t="str">
        <f>"341001001"</f>
        <v>341001001</v>
      </c>
      <c r="B4" s="7" t="s">
        <v>8</v>
      </c>
      <c r="C4" s="7" t="s">
        <v>9</v>
      </c>
      <c r="D4" s="8" t="str">
        <f>"223410031311"</f>
        <v>223410031311</v>
      </c>
      <c r="E4" s="9">
        <v>84.8</v>
      </c>
      <c r="F4" s="10">
        <v>77.67</v>
      </c>
      <c r="G4" s="10">
        <f t="shared" ref="G4:G35" si="0">E4/1.2*0.6+F4*0.4</f>
        <v>73.468</v>
      </c>
    </row>
    <row r="5" s="1" customFormat="1" spans="1:7">
      <c r="A5" s="7" t="str">
        <f>"341001001"</f>
        <v>341001001</v>
      </c>
      <c r="B5" s="7" t="s">
        <v>8</v>
      </c>
      <c r="C5" s="7" t="s">
        <v>9</v>
      </c>
      <c r="D5" s="8" t="str">
        <f>"223410031301"</f>
        <v>223410031301</v>
      </c>
      <c r="E5" s="9">
        <v>84</v>
      </c>
      <c r="F5" s="10">
        <v>78.5</v>
      </c>
      <c r="G5" s="10">
        <f t="shared" si="0"/>
        <v>73.4</v>
      </c>
    </row>
    <row r="6" s="1" customFormat="1" spans="1:7">
      <c r="A6" s="7" t="str">
        <f t="shared" ref="A6:A11" si="1">"341001002"</f>
        <v>341001002</v>
      </c>
      <c r="B6" s="7" t="s">
        <v>10</v>
      </c>
      <c r="C6" s="7" t="s">
        <v>11</v>
      </c>
      <c r="D6" s="8" t="str">
        <f>"223410030612"</f>
        <v>223410030612</v>
      </c>
      <c r="E6" s="9">
        <v>93.2</v>
      </c>
      <c r="F6" s="10">
        <v>84.67</v>
      </c>
      <c r="G6" s="10">
        <f t="shared" si="0"/>
        <v>80.468</v>
      </c>
    </row>
    <row r="7" s="1" customFormat="1" spans="1:7">
      <c r="A7" s="7" t="str">
        <f t="shared" si="1"/>
        <v>341001002</v>
      </c>
      <c r="B7" s="7" t="s">
        <v>10</v>
      </c>
      <c r="C7" s="7" t="s">
        <v>11</v>
      </c>
      <c r="D7" s="8" t="str">
        <f>"223410030802"</f>
        <v>223410030802</v>
      </c>
      <c r="E7" s="9">
        <v>93</v>
      </c>
      <c r="F7" s="10">
        <v>82.17</v>
      </c>
      <c r="G7" s="10">
        <f t="shared" si="0"/>
        <v>79.368</v>
      </c>
    </row>
    <row r="8" s="1" customFormat="1" spans="1:7">
      <c r="A8" s="7" t="str">
        <f t="shared" si="1"/>
        <v>341001002</v>
      </c>
      <c r="B8" s="7" t="s">
        <v>10</v>
      </c>
      <c r="C8" s="7" t="s">
        <v>11</v>
      </c>
      <c r="D8" s="8" t="str">
        <f>"223410030808"</f>
        <v>223410030808</v>
      </c>
      <c r="E8" s="9">
        <v>93.6</v>
      </c>
      <c r="F8" s="10">
        <v>80.17</v>
      </c>
      <c r="G8" s="10">
        <f t="shared" si="0"/>
        <v>78.868</v>
      </c>
    </row>
    <row r="9" s="1" customFormat="1" spans="1:7">
      <c r="A9" s="7" t="str">
        <f t="shared" si="1"/>
        <v>341001002</v>
      </c>
      <c r="B9" s="7" t="s">
        <v>10</v>
      </c>
      <c r="C9" s="7" t="s">
        <v>11</v>
      </c>
      <c r="D9" s="8" t="str">
        <f>"223410030718"</f>
        <v>223410030718</v>
      </c>
      <c r="E9" s="9">
        <v>88.4</v>
      </c>
      <c r="F9" s="10">
        <v>81.6</v>
      </c>
      <c r="G9" s="10">
        <f t="shared" si="0"/>
        <v>76.84</v>
      </c>
    </row>
    <row r="10" s="1" customFormat="1" spans="1:7">
      <c r="A10" s="7" t="str">
        <f t="shared" si="1"/>
        <v>341001002</v>
      </c>
      <c r="B10" s="7" t="s">
        <v>10</v>
      </c>
      <c r="C10" s="7" t="s">
        <v>11</v>
      </c>
      <c r="D10" s="8" t="str">
        <f>"223410030711"</f>
        <v>223410030711</v>
      </c>
      <c r="E10" s="9">
        <v>90.4</v>
      </c>
      <c r="F10" s="10">
        <v>78</v>
      </c>
      <c r="G10" s="10">
        <f t="shared" si="0"/>
        <v>76.4</v>
      </c>
    </row>
    <row r="11" s="1" customFormat="1" spans="1:7">
      <c r="A11" s="7" t="str">
        <f t="shared" si="1"/>
        <v>341001002</v>
      </c>
      <c r="B11" s="7" t="s">
        <v>10</v>
      </c>
      <c r="C11" s="7" t="s">
        <v>11</v>
      </c>
      <c r="D11" s="8" t="str">
        <f>"223410030709"</f>
        <v>223410030709</v>
      </c>
      <c r="E11" s="9">
        <v>86.8</v>
      </c>
      <c r="F11" s="10" t="s">
        <v>12</v>
      </c>
      <c r="G11" s="10" t="s">
        <v>12</v>
      </c>
    </row>
    <row r="12" s="1" customFormat="1" spans="1:7">
      <c r="A12" s="7" t="str">
        <f>"341001003"</f>
        <v>341001003</v>
      </c>
      <c r="B12" s="7" t="s">
        <v>13</v>
      </c>
      <c r="C12" s="7" t="s">
        <v>11</v>
      </c>
      <c r="D12" s="8" t="str">
        <f>"223410032904"</f>
        <v>223410032904</v>
      </c>
      <c r="E12" s="9">
        <v>102.4</v>
      </c>
      <c r="F12" s="10">
        <v>76.33</v>
      </c>
      <c r="G12" s="10">
        <f t="shared" si="0"/>
        <v>81.732</v>
      </c>
    </row>
    <row r="13" s="1" customFormat="1" spans="1:7">
      <c r="A13" s="7" t="str">
        <f>"341001003"</f>
        <v>341001003</v>
      </c>
      <c r="B13" s="7" t="s">
        <v>13</v>
      </c>
      <c r="C13" s="7" t="s">
        <v>11</v>
      </c>
      <c r="D13" s="8" t="str">
        <f>"223410032909"</f>
        <v>223410032909</v>
      </c>
      <c r="E13" s="9">
        <v>98.8</v>
      </c>
      <c r="F13" s="10">
        <v>77.33</v>
      </c>
      <c r="G13" s="10">
        <f t="shared" si="0"/>
        <v>80.332</v>
      </c>
    </row>
    <row r="14" s="1" customFormat="1" spans="1:7">
      <c r="A14" s="7" t="str">
        <f>"341001003"</f>
        <v>341001003</v>
      </c>
      <c r="B14" s="7" t="s">
        <v>13</v>
      </c>
      <c r="C14" s="7" t="s">
        <v>11</v>
      </c>
      <c r="D14" s="8" t="str">
        <f>"223410032609"</f>
        <v>223410032609</v>
      </c>
      <c r="E14" s="9">
        <v>97.9</v>
      </c>
      <c r="F14" s="10" t="s">
        <v>12</v>
      </c>
      <c r="G14" s="10" t="s">
        <v>12</v>
      </c>
    </row>
    <row r="15" s="1" customFormat="1" spans="1:7">
      <c r="A15" s="7" t="str">
        <f>"341001004"</f>
        <v>341001004</v>
      </c>
      <c r="B15" s="7" t="s">
        <v>14</v>
      </c>
      <c r="C15" s="7" t="s">
        <v>11</v>
      </c>
      <c r="D15" s="8" t="str">
        <f>"223410031009"</f>
        <v>223410031009</v>
      </c>
      <c r="E15" s="9">
        <v>99</v>
      </c>
      <c r="F15" s="10">
        <v>77.67</v>
      </c>
      <c r="G15" s="10">
        <f t="shared" si="0"/>
        <v>80.568</v>
      </c>
    </row>
    <row r="16" s="1" customFormat="1" spans="1:7">
      <c r="A16" s="7" t="str">
        <f>"341001004"</f>
        <v>341001004</v>
      </c>
      <c r="B16" s="7" t="s">
        <v>14</v>
      </c>
      <c r="C16" s="7" t="s">
        <v>11</v>
      </c>
      <c r="D16" s="8" t="str">
        <f>"223410030911"</f>
        <v>223410030911</v>
      </c>
      <c r="E16" s="9">
        <v>96</v>
      </c>
      <c r="F16" s="10">
        <v>79.67</v>
      </c>
      <c r="G16" s="10">
        <f t="shared" si="0"/>
        <v>79.868</v>
      </c>
    </row>
    <row r="17" s="1" customFormat="1" spans="1:7">
      <c r="A17" s="7" t="str">
        <f>"341001004"</f>
        <v>341001004</v>
      </c>
      <c r="B17" s="7" t="s">
        <v>14</v>
      </c>
      <c r="C17" s="7" t="s">
        <v>11</v>
      </c>
      <c r="D17" s="8" t="str">
        <f>"223410031004"</f>
        <v>223410031004</v>
      </c>
      <c r="E17" s="9">
        <v>91.2</v>
      </c>
      <c r="F17" s="10">
        <v>77.33</v>
      </c>
      <c r="G17" s="10">
        <f t="shared" si="0"/>
        <v>76.532</v>
      </c>
    </row>
    <row r="18" s="1" customFormat="1" spans="1:7">
      <c r="A18" s="7" t="str">
        <f>"341001005"</f>
        <v>341001005</v>
      </c>
      <c r="B18" s="7" t="s">
        <v>15</v>
      </c>
      <c r="C18" s="7" t="s">
        <v>11</v>
      </c>
      <c r="D18" s="8" t="str">
        <f>"223410030115"</f>
        <v>223410030115</v>
      </c>
      <c r="E18" s="9">
        <v>82.4</v>
      </c>
      <c r="F18" s="10">
        <v>82.67</v>
      </c>
      <c r="G18" s="10">
        <f t="shared" si="0"/>
        <v>74.268</v>
      </c>
    </row>
    <row r="19" s="1" customFormat="1" spans="1:7">
      <c r="A19" s="7" t="str">
        <f>"341001005"</f>
        <v>341001005</v>
      </c>
      <c r="B19" s="7" t="s">
        <v>15</v>
      </c>
      <c r="C19" s="7" t="s">
        <v>11</v>
      </c>
      <c r="D19" s="8" t="str">
        <f>"223410030315"</f>
        <v>223410030315</v>
      </c>
      <c r="E19" s="9">
        <v>80.4</v>
      </c>
      <c r="F19" s="10">
        <v>80.67</v>
      </c>
      <c r="G19" s="10">
        <f t="shared" si="0"/>
        <v>72.468</v>
      </c>
    </row>
    <row r="20" s="1" customFormat="1" spans="1:7">
      <c r="A20" s="7" t="str">
        <f>"341001005"</f>
        <v>341001005</v>
      </c>
      <c r="B20" s="7" t="s">
        <v>15</v>
      </c>
      <c r="C20" s="7" t="s">
        <v>11</v>
      </c>
      <c r="D20" s="8" t="str">
        <f>"223410030423"</f>
        <v>223410030423</v>
      </c>
      <c r="E20" s="9">
        <v>80.6</v>
      </c>
      <c r="F20" s="10">
        <v>80</v>
      </c>
      <c r="G20" s="10">
        <f t="shared" si="0"/>
        <v>72.3</v>
      </c>
    </row>
    <row r="21" s="1" customFormat="1" spans="1:7">
      <c r="A21" s="7" t="str">
        <f>"341001006"</f>
        <v>341001006</v>
      </c>
      <c r="B21" s="7" t="s">
        <v>16</v>
      </c>
      <c r="C21" s="7" t="s">
        <v>11</v>
      </c>
      <c r="D21" s="8" t="str">
        <f>"223410032325"</f>
        <v>223410032325</v>
      </c>
      <c r="E21" s="9">
        <v>84.2</v>
      </c>
      <c r="F21" s="10">
        <v>79</v>
      </c>
      <c r="G21" s="10">
        <f t="shared" si="0"/>
        <v>73.7</v>
      </c>
    </row>
    <row r="22" s="1" customFormat="1" spans="1:7">
      <c r="A22" s="7" t="str">
        <f>"341001006"</f>
        <v>341001006</v>
      </c>
      <c r="B22" s="7" t="s">
        <v>16</v>
      </c>
      <c r="C22" s="7" t="s">
        <v>11</v>
      </c>
      <c r="D22" s="8" t="str">
        <f>"223410032212"</f>
        <v>223410032212</v>
      </c>
      <c r="E22" s="9">
        <v>81.6</v>
      </c>
      <c r="F22" s="10">
        <v>81</v>
      </c>
      <c r="G22" s="10">
        <f t="shared" si="0"/>
        <v>73.2</v>
      </c>
    </row>
    <row r="23" s="1" customFormat="1" spans="1:7">
      <c r="A23" s="7" t="str">
        <f>"341001006"</f>
        <v>341001006</v>
      </c>
      <c r="B23" s="7" t="s">
        <v>16</v>
      </c>
      <c r="C23" s="7" t="s">
        <v>11</v>
      </c>
      <c r="D23" s="8" t="str">
        <f>"223410032121"</f>
        <v>223410032121</v>
      </c>
      <c r="E23" s="9">
        <v>82.2</v>
      </c>
      <c r="F23" s="10" t="s">
        <v>12</v>
      </c>
      <c r="G23" s="10" t="s">
        <v>12</v>
      </c>
    </row>
    <row r="24" s="1" customFormat="1" spans="1:7">
      <c r="A24" s="7" t="str">
        <f>"341001007"</f>
        <v>341001007</v>
      </c>
      <c r="B24" s="7" t="s">
        <v>8</v>
      </c>
      <c r="C24" s="7" t="s">
        <v>11</v>
      </c>
      <c r="D24" s="8" t="str">
        <f>"223410031419"</f>
        <v>223410031419</v>
      </c>
      <c r="E24" s="9">
        <v>85.4</v>
      </c>
      <c r="F24" s="10">
        <v>77</v>
      </c>
      <c r="G24" s="10">
        <f t="shared" si="0"/>
        <v>73.5</v>
      </c>
    </row>
    <row r="25" s="1" customFormat="1" spans="1:7">
      <c r="A25" s="7" t="str">
        <f>"341001007"</f>
        <v>341001007</v>
      </c>
      <c r="B25" s="7" t="s">
        <v>8</v>
      </c>
      <c r="C25" s="7" t="s">
        <v>11</v>
      </c>
      <c r="D25" s="8" t="str">
        <f>"223410031413"</f>
        <v>223410031413</v>
      </c>
      <c r="E25" s="9">
        <v>80.2</v>
      </c>
      <c r="F25" s="10">
        <v>73.5</v>
      </c>
      <c r="G25" s="10">
        <f t="shared" si="0"/>
        <v>69.5</v>
      </c>
    </row>
    <row r="26" s="1" customFormat="1" spans="1:7">
      <c r="A26" s="7" t="str">
        <f>"341001008"</f>
        <v>341001008</v>
      </c>
      <c r="B26" s="7" t="s">
        <v>16</v>
      </c>
      <c r="C26" s="7" t="s">
        <v>17</v>
      </c>
      <c r="D26" s="8" t="str">
        <f>"223410032510"</f>
        <v>223410032510</v>
      </c>
      <c r="E26" s="9">
        <v>101.8</v>
      </c>
      <c r="F26" s="10">
        <v>84.17</v>
      </c>
      <c r="G26" s="10">
        <f t="shared" si="0"/>
        <v>84.568</v>
      </c>
    </row>
    <row r="27" s="1" customFormat="1" spans="1:7">
      <c r="A27" s="7" t="str">
        <f>"341001008"</f>
        <v>341001008</v>
      </c>
      <c r="B27" s="7" t="s">
        <v>16</v>
      </c>
      <c r="C27" s="7" t="s">
        <v>17</v>
      </c>
      <c r="D27" s="8" t="str">
        <f>"223410032204"</f>
        <v>223410032204</v>
      </c>
      <c r="E27" s="9">
        <v>98.2</v>
      </c>
      <c r="F27" s="10">
        <v>80.17</v>
      </c>
      <c r="G27" s="10">
        <f t="shared" si="0"/>
        <v>81.168</v>
      </c>
    </row>
    <row r="28" s="1" customFormat="1" spans="1:7">
      <c r="A28" s="7" t="str">
        <f>"341001008"</f>
        <v>341001008</v>
      </c>
      <c r="B28" s="7" t="s">
        <v>16</v>
      </c>
      <c r="C28" s="7" t="s">
        <v>17</v>
      </c>
      <c r="D28" s="8" t="str">
        <f>"223410032314"</f>
        <v>223410032314</v>
      </c>
      <c r="E28" s="9">
        <v>97.8</v>
      </c>
      <c r="F28" s="10">
        <v>74.17</v>
      </c>
      <c r="G28" s="10">
        <f t="shared" si="0"/>
        <v>78.568</v>
      </c>
    </row>
    <row r="29" s="1" customFormat="1" spans="1:7">
      <c r="A29" s="7" t="str">
        <f>"341001009"</f>
        <v>341001009</v>
      </c>
      <c r="B29" s="7" t="s">
        <v>18</v>
      </c>
      <c r="C29" s="7" t="s">
        <v>17</v>
      </c>
      <c r="D29" s="8" t="str">
        <f>"223410031922"</f>
        <v>223410031922</v>
      </c>
      <c r="E29" s="9">
        <v>95.5</v>
      </c>
      <c r="F29" s="10">
        <v>83.17</v>
      </c>
      <c r="G29" s="10">
        <f t="shared" si="0"/>
        <v>81.018</v>
      </c>
    </row>
    <row r="30" s="1" customFormat="1" spans="1:7">
      <c r="A30" s="7" t="str">
        <f>"341001009"</f>
        <v>341001009</v>
      </c>
      <c r="B30" s="7" t="s">
        <v>18</v>
      </c>
      <c r="C30" s="7" t="s">
        <v>17</v>
      </c>
      <c r="D30" s="8" t="str">
        <f>"223410031923"</f>
        <v>223410031923</v>
      </c>
      <c r="E30" s="9">
        <v>92.3</v>
      </c>
      <c r="F30" s="10">
        <v>83.17</v>
      </c>
      <c r="G30" s="10">
        <f t="shared" si="0"/>
        <v>79.418</v>
      </c>
    </row>
    <row r="31" s="1" customFormat="1" spans="1:7">
      <c r="A31" s="7" t="str">
        <f>"341001009"</f>
        <v>341001009</v>
      </c>
      <c r="B31" s="7" t="s">
        <v>18</v>
      </c>
      <c r="C31" s="7" t="s">
        <v>17</v>
      </c>
      <c r="D31" s="8" t="str">
        <f>"223410031906"</f>
        <v>223410031906</v>
      </c>
      <c r="E31" s="9">
        <v>91.7</v>
      </c>
      <c r="F31" s="10">
        <v>78.17</v>
      </c>
      <c r="G31" s="10">
        <f t="shared" si="0"/>
        <v>77.118</v>
      </c>
    </row>
    <row r="32" s="1" customFormat="1" spans="1:7">
      <c r="A32" s="7" t="str">
        <f>"341001010"</f>
        <v>341001010</v>
      </c>
      <c r="B32" s="7" t="s">
        <v>16</v>
      </c>
      <c r="C32" s="7" t="s">
        <v>17</v>
      </c>
      <c r="D32" s="8" t="str">
        <f>"223410032223"</f>
        <v>223410032223</v>
      </c>
      <c r="E32" s="9">
        <v>105</v>
      </c>
      <c r="F32" s="10">
        <v>81.67</v>
      </c>
      <c r="G32" s="10">
        <f t="shared" si="0"/>
        <v>85.168</v>
      </c>
    </row>
    <row r="33" s="1" customFormat="1" spans="1:7">
      <c r="A33" s="7" t="str">
        <f>"341001010"</f>
        <v>341001010</v>
      </c>
      <c r="B33" s="7" t="s">
        <v>16</v>
      </c>
      <c r="C33" s="7" t="s">
        <v>17</v>
      </c>
      <c r="D33" s="8" t="str">
        <f>"223410032406"</f>
        <v>223410032406</v>
      </c>
      <c r="E33" s="9">
        <v>105.6</v>
      </c>
      <c r="F33" s="10">
        <v>80.33</v>
      </c>
      <c r="G33" s="10">
        <f t="shared" si="0"/>
        <v>84.932</v>
      </c>
    </row>
    <row r="34" s="1" customFormat="1" spans="1:7">
      <c r="A34" s="7" t="str">
        <f>"341001010"</f>
        <v>341001010</v>
      </c>
      <c r="B34" s="7" t="s">
        <v>16</v>
      </c>
      <c r="C34" s="7" t="s">
        <v>17</v>
      </c>
      <c r="D34" s="8" t="str">
        <f>"223410032417"</f>
        <v>223410032417</v>
      </c>
      <c r="E34" s="9">
        <v>100.2</v>
      </c>
      <c r="F34" s="10">
        <v>78.5</v>
      </c>
      <c r="G34" s="10">
        <f t="shared" si="0"/>
        <v>81.5</v>
      </c>
    </row>
    <row r="35" s="1" customFormat="1" spans="1:7">
      <c r="A35" s="7" t="str">
        <f>"341001011"</f>
        <v>341001011</v>
      </c>
      <c r="B35" s="7" t="s">
        <v>8</v>
      </c>
      <c r="C35" s="7" t="s">
        <v>17</v>
      </c>
      <c r="D35" s="8" t="str">
        <f>"223410031424"</f>
        <v>223410031424</v>
      </c>
      <c r="E35" s="9">
        <v>81.6</v>
      </c>
      <c r="F35" s="10">
        <v>84.17</v>
      </c>
      <c r="G35" s="10">
        <f t="shared" si="0"/>
        <v>74.468</v>
      </c>
    </row>
    <row r="36" s="1" customFormat="1" spans="1:7">
      <c r="A36" s="7" t="str">
        <f>"341001011"</f>
        <v>341001011</v>
      </c>
      <c r="B36" s="7" t="s">
        <v>8</v>
      </c>
      <c r="C36" s="7" t="s">
        <v>17</v>
      </c>
      <c r="D36" s="8" t="str">
        <f>"223410031312"</f>
        <v>223410031312</v>
      </c>
      <c r="E36" s="9">
        <v>77.6</v>
      </c>
      <c r="F36" s="10">
        <v>80.17</v>
      </c>
      <c r="G36" s="10">
        <f t="shared" ref="G36:G67" si="2">E36/1.2*0.6+F36*0.4</f>
        <v>70.868</v>
      </c>
    </row>
    <row r="37" s="1" customFormat="1" spans="1:7">
      <c r="A37" s="7" t="str">
        <f>"341001012"</f>
        <v>341001012</v>
      </c>
      <c r="B37" s="7" t="s">
        <v>15</v>
      </c>
      <c r="C37" s="7" t="s">
        <v>17</v>
      </c>
      <c r="D37" s="8" t="str">
        <f>"223410030313"</f>
        <v>223410030313</v>
      </c>
      <c r="E37" s="9">
        <v>89</v>
      </c>
      <c r="F37" s="10">
        <v>85.67</v>
      </c>
      <c r="G37" s="10">
        <f t="shared" si="2"/>
        <v>78.768</v>
      </c>
    </row>
    <row r="38" s="1" customFormat="1" spans="1:7">
      <c r="A38" s="7" t="str">
        <f>"341001012"</f>
        <v>341001012</v>
      </c>
      <c r="B38" s="7" t="s">
        <v>15</v>
      </c>
      <c r="C38" s="7" t="s">
        <v>17</v>
      </c>
      <c r="D38" s="8" t="str">
        <f>"223410030107"</f>
        <v>223410030107</v>
      </c>
      <c r="E38" s="9">
        <v>84.6</v>
      </c>
      <c r="F38" s="10">
        <v>86</v>
      </c>
      <c r="G38" s="10">
        <f t="shared" si="2"/>
        <v>76.7</v>
      </c>
    </row>
    <row r="39" s="1" customFormat="1" spans="1:7">
      <c r="A39" s="7" t="str">
        <f>"341001012"</f>
        <v>341001012</v>
      </c>
      <c r="B39" s="7" t="s">
        <v>15</v>
      </c>
      <c r="C39" s="7" t="s">
        <v>17</v>
      </c>
      <c r="D39" s="8" t="str">
        <f>"223410030323"</f>
        <v>223410030323</v>
      </c>
      <c r="E39" s="9">
        <v>77.4</v>
      </c>
      <c r="F39" s="10">
        <v>79</v>
      </c>
      <c r="G39" s="10">
        <f t="shared" si="2"/>
        <v>70.3</v>
      </c>
    </row>
    <row r="40" s="1" customFormat="1" spans="1:7">
      <c r="A40" s="7" t="str">
        <f>"341001013"</f>
        <v>341001013</v>
      </c>
      <c r="B40" s="7" t="s">
        <v>10</v>
      </c>
      <c r="C40" s="7" t="s">
        <v>19</v>
      </c>
      <c r="D40" s="8" t="str">
        <f>"223410030729"</f>
        <v>223410030729</v>
      </c>
      <c r="E40" s="9">
        <v>77.8</v>
      </c>
      <c r="F40" s="10">
        <v>82.83</v>
      </c>
      <c r="G40" s="10">
        <f t="shared" si="2"/>
        <v>72.032</v>
      </c>
    </row>
    <row r="41" s="1" customFormat="1" spans="1:7">
      <c r="A41" s="7" t="str">
        <f>"341001013"</f>
        <v>341001013</v>
      </c>
      <c r="B41" s="7" t="s">
        <v>10</v>
      </c>
      <c r="C41" s="7" t="s">
        <v>19</v>
      </c>
      <c r="D41" s="8" t="str">
        <f>"223410030721"</f>
        <v>223410030721</v>
      </c>
      <c r="E41" s="9">
        <v>77</v>
      </c>
      <c r="F41" s="10">
        <v>79.5</v>
      </c>
      <c r="G41" s="10">
        <f t="shared" si="2"/>
        <v>70.3</v>
      </c>
    </row>
    <row r="42" s="1" customFormat="1" spans="1:7">
      <c r="A42" s="7" t="str">
        <f>"341001013"</f>
        <v>341001013</v>
      </c>
      <c r="B42" s="7" t="s">
        <v>10</v>
      </c>
      <c r="C42" s="7" t="s">
        <v>19</v>
      </c>
      <c r="D42" s="8" t="str">
        <f>"223410030609"</f>
        <v>223410030609</v>
      </c>
      <c r="E42" s="9">
        <v>72.4</v>
      </c>
      <c r="F42" s="10">
        <v>84.2</v>
      </c>
      <c r="G42" s="10">
        <f t="shared" si="2"/>
        <v>69.88</v>
      </c>
    </row>
    <row r="43" s="1" customFormat="1" spans="1:7">
      <c r="A43" s="7" t="str">
        <f>"341001014"</f>
        <v>341001014</v>
      </c>
      <c r="B43" s="7" t="s">
        <v>10</v>
      </c>
      <c r="C43" s="7" t="s">
        <v>19</v>
      </c>
      <c r="D43" s="8" t="str">
        <f>"223410030703"</f>
        <v>223410030703</v>
      </c>
      <c r="E43" s="9">
        <v>87.6</v>
      </c>
      <c r="F43" s="10">
        <v>83.5</v>
      </c>
      <c r="G43" s="10">
        <f t="shared" si="2"/>
        <v>77.2</v>
      </c>
    </row>
    <row r="44" s="1" customFormat="1" spans="1:7">
      <c r="A44" s="7" t="str">
        <f>"341001014"</f>
        <v>341001014</v>
      </c>
      <c r="B44" s="7" t="s">
        <v>10</v>
      </c>
      <c r="C44" s="7" t="s">
        <v>19</v>
      </c>
      <c r="D44" s="8" t="str">
        <f>"223410030724"</f>
        <v>223410030724</v>
      </c>
      <c r="E44" s="9">
        <v>86.4</v>
      </c>
      <c r="F44" s="10">
        <v>82.17</v>
      </c>
      <c r="G44" s="10">
        <f t="shared" si="2"/>
        <v>76.068</v>
      </c>
    </row>
    <row r="45" s="1" customFormat="1" spans="1:7">
      <c r="A45" s="7" t="str">
        <f>"341001014"</f>
        <v>341001014</v>
      </c>
      <c r="B45" s="7" t="s">
        <v>10</v>
      </c>
      <c r="C45" s="7" t="s">
        <v>19</v>
      </c>
      <c r="D45" s="8" t="str">
        <f>"223410030704"</f>
        <v>223410030704</v>
      </c>
      <c r="E45" s="9">
        <v>86.2</v>
      </c>
      <c r="F45" s="10">
        <v>78.67</v>
      </c>
      <c r="G45" s="10">
        <f t="shared" si="2"/>
        <v>74.568</v>
      </c>
    </row>
    <row r="46" s="1" customFormat="1" spans="1:7">
      <c r="A46" s="7" t="str">
        <f>"341001015"</f>
        <v>341001015</v>
      </c>
      <c r="B46" s="7" t="s">
        <v>8</v>
      </c>
      <c r="C46" s="7" t="s">
        <v>19</v>
      </c>
      <c r="D46" s="8" t="str">
        <f>"223410031414"</f>
        <v>223410031414</v>
      </c>
      <c r="E46" s="9">
        <v>84.2</v>
      </c>
      <c r="F46" s="10">
        <v>83</v>
      </c>
      <c r="G46" s="10">
        <f t="shared" si="2"/>
        <v>75.3</v>
      </c>
    </row>
    <row r="47" s="1" customFormat="1" spans="1:7">
      <c r="A47" s="7" t="str">
        <f>"341001015"</f>
        <v>341001015</v>
      </c>
      <c r="B47" s="7" t="s">
        <v>8</v>
      </c>
      <c r="C47" s="7" t="s">
        <v>19</v>
      </c>
      <c r="D47" s="8" t="str">
        <f>"223410031412"</f>
        <v>223410031412</v>
      </c>
      <c r="E47" s="9">
        <v>80.6</v>
      </c>
      <c r="F47" s="10">
        <v>78</v>
      </c>
      <c r="G47" s="10">
        <f t="shared" si="2"/>
        <v>71.5</v>
      </c>
    </row>
    <row r="48" s="1" customFormat="1" spans="1:7">
      <c r="A48" s="7" t="str">
        <f>"341001015"</f>
        <v>341001015</v>
      </c>
      <c r="B48" s="7" t="s">
        <v>8</v>
      </c>
      <c r="C48" s="7" t="s">
        <v>19</v>
      </c>
      <c r="D48" s="8" t="str">
        <f>"223410031306"</f>
        <v>223410031306</v>
      </c>
      <c r="E48" s="9">
        <v>80.8</v>
      </c>
      <c r="F48" s="10">
        <v>71</v>
      </c>
      <c r="G48" s="10">
        <f t="shared" si="2"/>
        <v>68.8</v>
      </c>
    </row>
    <row r="49" s="1" customFormat="1" spans="1:7">
      <c r="A49" s="7" t="str">
        <f>"341001016"</f>
        <v>341001016</v>
      </c>
      <c r="B49" s="7" t="s">
        <v>14</v>
      </c>
      <c r="C49" s="7" t="s">
        <v>19</v>
      </c>
      <c r="D49" s="8" t="str">
        <f>"223410031012"</f>
        <v>223410031012</v>
      </c>
      <c r="E49" s="9">
        <v>101.4</v>
      </c>
      <c r="F49" s="10">
        <v>84.67</v>
      </c>
      <c r="G49" s="10">
        <f t="shared" si="2"/>
        <v>84.568</v>
      </c>
    </row>
    <row r="50" s="1" customFormat="1" spans="1:7">
      <c r="A50" s="7" t="str">
        <f>"341001016"</f>
        <v>341001016</v>
      </c>
      <c r="B50" s="7" t="s">
        <v>14</v>
      </c>
      <c r="C50" s="7" t="s">
        <v>19</v>
      </c>
      <c r="D50" s="8" t="str">
        <f>"223410030905"</f>
        <v>223410030905</v>
      </c>
      <c r="E50" s="9">
        <v>100.4</v>
      </c>
      <c r="F50" s="10">
        <v>78.5</v>
      </c>
      <c r="G50" s="10">
        <f t="shared" si="2"/>
        <v>81.6</v>
      </c>
    </row>
    <row r="51" s="1" customFormat="1" spans="1:7">
      <c r="A51" s="7" t="str">
        <f>"341001016"</f>
        <v>341001016</v>
      </c>
      <c r="B51" s="7" t="s">
        <v>14</v>
      </c>
      <c r="C51" s="7" t="s">
        <v>19</v>
      </c>
      <c r="D51" s="8" t="str">
        <f>"223410030906"</f>
        <v>223410030906</v>
      </c>
      <c r="E51" s="9">
        <v>92.6</v>
      </c>
      <c r="F51" s="10">
        <v>82.67</v>
      </c>
      <c r="G51" s="10">
        <f t="shared" si="2"/>
        <v>79.368</v>
      </c>
    </row>
    <row r="52" s="1" customFormat="1" spans="1:7">
      <c r="A52" s="7" t="str">
        <f>"341001017"</f>
        <v>341001017</v>
      </c>
      <c r="B52" s="7" t="s">
        <v>20</v>
      </c>
      <c r="C52" s="7" t="s">
        <v>19</v>
      </c>
      <c r="D52" s="8" t="str">
        <f>"223410031615"</f>
        <v>223410031615</v>
      </c>
      <c r="E52" s="9">
        <v>94.8</v>
      </c>
      <c r="F52" s="10">
        <v>82.5</v>
      </c>
      <c r="G52" s="10">
        <f t="shared" si="2"/>
        <v>80.4</v>
      </c>
    </row>
    <row r="53" s="1" customFormat="1" spans="1:7">
      <c r="A53" s="7" t="str">
        <f>"341001017"</f>
        <v>341001017</v>
      </c>
      <c r="B53" s="7" t="s">
        <v>20</v>
      </c>
      <c r="C53" s="7" t="s">
        <v>19</v>
      </c>
      <c r="D53" s="8" t="str">
        <f>"223410031628"</f>
        <v>223410031628</v>
      </c>
      <c r="E53" s="9">
        <v>90.4</v>
      </c>
      <c r="F53" s="10">
        <v>76.17</v>
      </c>
      <c r="G53" s="10">
        <f t="shared" si="2"/>
        <v>75.668</v>
      </c>
    </row>
    <row r="54" s="1" customFormat="1" spans="1:7">
      <c r="A54" s="7" t="str">
        <f>"341001017"</f>
        <v>341001017</v>
      </c>
      <c r="B54" s="7" t="s">
        <v>20</v>
      </c>
      <c r="C54" s="7" t="s">
        <v>19</v>
      </c>
      <c r="D54" s="8" t="str">
        <f>"223410031624"</f>
        <v>223410031624</v>
      </c>
      <c r="E54" s="9">
        <v>84.6</v>
      </c>
      <c r="F54" s="10">
        <v>80</v>
      </c>
      <c r="G54" s="10">
        <f t="shared" si="2"/>
        <v>74.3</v>
      </c>
    </row>
    <row r="55" s="1" customFormat="1" spans="1:7">
      <c r="A55" s="7" t="str">
        <f>"341001018"</f>
        <v>341001018</v>
      </c>
      <c r="B55" s="7" t="s">
        <v>16</v>
      </c>
      <c r="C55" s="7" t="s">
        <v>19</v>
      </c>
      <c r="D55" s="8" t="str">
        <f>"223410032203"</f>
        <v>223410032203</v>
      </c>
      <c r="E55" s="9">
        <v>106.6</v>
      </c>
      <c r="F55" s="10">
        <v>78.5</v>
      </c>
      <c r="G55" s="10">
        <f t="shared" si="2"/>
        <v>84.7</v>
      </c>
    </row>
    <row r="56" s="1" customFormat="1" spans="1:7">
      <c r="A56" s="7" t="str">
        <f>"341001018"</f>
        <v>341001018</v>
      </c>
      <c r="B56" s="7" t="s">
        <v>16</v>
      </c>
      <c r="C56" s="7" t="s">
        <v>19</v>
      </c>
      <c r="D56" s="8" t="str">
        <f>"223410032504"</f>
        <v>223410032504</v>
      </c>
      <c r="E56" s="9">
        <v>100.2</v>
      </c>
      <c r="F56" s="10">
        <v>76.17</v>
      </c>
      <c r="G56" s="10">
        <f t="shared" si="2"/>
        <v>80.568</v>
      </c>
    </row>
    <row r="57" s="1" customFormat="1" spans="1:7">
      <c r="A57" s="7" t="str">
        <f>"341001018"</f>
        <v>341001018</v>
      </c>
      <c r="B57" s="7" t="s">
        <v>16</v>
      </c>
      <c r="C57" s="7" t="s">
        <v>19</v>
      </c>
      <c r="D57" s="8" t="str">
        <f>"223410032115"</f>
        <v>223410032115</v>
      </c>
      <c r="E57" s="9">
        <v>88.2</v>
      </c>
      <c r="F57" s="10">
        <v>77.17</v>
      </c>
      <c r="G57" s="10">
        <f t="shared" si="2"/>
        <v>74.968</v>
      </c>
    </row>
    <row r="58" s="1" customFormat="1" spans="1:7">
      <c r="A58" s="7" t="str">
        <f>"341001019"</f>
        <v>341001019</v>
      </c>
      <c r="B58" s="7" t="s">
        <v>21</v>
      </c>
      <c r="C58" s="7" t="s">
        <v>19</v>
      </c>
      <c r="D58" s="8" t="str">
        <f>"223410031214"</f>
        <v>223410031214</v>
      </c>
      <c r="E58" s="9">
        <v>98.1</v>
      </c>
      <c r="F58" s="10">
        <v>77.67</v>
      </c>
      <c r="G58" s="10">
        <f t="shared" si="2"/>
        <v>80.118</v>
      </c>
    </row>
    <row r="59" s="1" customFormat="1" spans="1:7">
      <c r="A59" s="7" t="str">
        <f>"341001019"</f>
        <v>341001019</v>
      </c>
      <c r="B59" s="7" t="s">
        <v>21</v>
      </c>
      <c r="C59" s="7" t="s">
        <v>19</v>
      </c>
      <c r="D59" s="8" t="str">
        <f>"223410031215"</f>
        <v>223410031215</v>
      </c>
      <c r="E59" s="9">
        <v>98</v>
      </c>
      <c r="F59" s="10">
        <v>76.33</v>
      </c>
      <c r="G59" s="10">
        <f t="shared" si="2"/>
        <v>79.532</v>
      </c>
    </row>
    <row r="60" s="1" customFormat="1" spans="1:7">
      <c r="A60" s="7" t="str">
        <f>"341001019"</f>
        <v>341001019</v>
      </c>
      <c r="B60" s="7" t="s">
        <v>21</v>
      </c>
      <c r="C60" s="7" t="s">
        <v>19</v>
      </c>
      <c r="D60" s="8" t="str">
        <f>"223410031209"</f>
        <v>223410031209</v>
      </c>
      <c r="E60" s="9">
        <v>79.7</v>
      </c>
      <c r="F60" s="10">
        <v>71.17</v>
      </c>
      <c r="G60" s="10">
        <f t="shared" si="2"/>
        <v>68.318</v>
      </c>
    </row>
    <row r="61" s="1" customFormat="1" spans="1:7">
      <c r="A61" s="7" t="str">
        <f>"341001020"</f>
        <v>341001020</v>
      </c>
      <c r="B61" s="7" t="s">
        <v>22</v>
      </c>
      <c r="C61" s="7" t="s">
        <v>23</v>
      </c>
      <c r="D61" s="8" t="str">
        <f>"223410020127"</f>
        <v>223410020127</v>
      </c>
      <c r="E61" s="9">
        <v>96.3</v>
      </c>
      <c r="F61" s="10">
        <v>76</v>
      </c>
      <c r="G61" s="10">
        <f t="shared" si="2"/>
        <v>78.55</v>
      </c>
    </row>
    <row r="62" s="1" customFormat="1" spans="1:7">
      <c r="A62" s="7" t="str">
        <f>"341001020"</f>
        <v>341001020</v>
      </c>
      <c r="B62" s="7" t="s">
        <v>22</v>
      </c>
      <c r="C62" s="7" t="s">
        <v>23</v>
      </c>
      <c r="D62" s="8" t="str">
        <f>"223410020109"</f>
        <v>223410020109</v>
      </c>
      <c r="E62" s="9">
        <v>85</v>
      </c>
      <c r="F62" s="10">
        <v>83.87</v>
      </c>
      <c r="G62" s="10">
        <f t="shared" si="2"/>
        <v>76.048</v>
      </c>
    </row>
    <row r="63" s="1" customFormat="1" spans="1:7">
      <c r="A63" s="7" t="str">
        <f>"341001020"</f>
        <v>341001020</v>
      </c>
      <c r="B63" s="7" t="s">
        <v>22</v>
      </c>
      <c r="C63" s="7" t="s">
        <v>23</v>
      </c>
      <c r="D63" s="8" t="str">
        <f>"223410020129"</f>
        <v>223410020129</v>
      </c>
      <c r="E63" s="9">
        <v>77.4</v>
      </c>
      <c r="F63" s="10" t="s">
        <v>12</v>
      </c>
      <c r="G63" s="10" t="s">
        <v>12</v>
      </c>
    </row>
    <row r="64" s="1" customFormat="1" spans="1:7">
      <c r="A64" s="7" t="str">
        <f>"341001021"</f>
        <v>341001021</v>
      </c>
      <c r="B64" s="7" t="s">
        <v>24</v>
      </c>
      <c r="C64" s="7" t="s">
        <v>23</v>
      </c>
      <c r="D64" s="8" t="str">
        <f>"223410021301"</f>
        <v>223410021301</v>
      </c>
      <c r="E64" s="9">
        <v>85.8</v>
      </c>
      <c r="F64" s="10">
        <v>80.8</v>
      </c>
      <c r="G64" s="10">
        <f t="shared" si="2"/>
        <v>75.22</v>
      </c>
    </row>
    <row r="65" s="1" customFormat="1" spans="1:7">
      <c r="A65" s="7" t="str">
        <f>"341001021"</f>
        <v>341001021</v>
      </c>
      <c r="B65" s="7" t="s">
        <v>24</v>
      </c>
      <c r="C65" s="7" t="s">
        <v>23</v>
      </c>
      <c r="D65" s="8" t="str">
        <f>"223410021506"</f>
        <v>223410021506</v>
      </c>
      <c r="E65" s="9">
        <v>88.5</v>
      </c>
      <c r="F65" s="10">
        <v>74.17</v>
      </c>
      <c r="G65" s="10">
        <f t="shared" si="2"/>
        <v>73.918</v>
      </c>
    </row>
    <row r="66" s="1" customFormat="1" spans="1:7">
      <c r="A66" s="7" t="str">
        <f>"341001022"</f>
        <v>341001022</v>
      </c>
      <c r="B66" s="7" t="s">
        <v>25</v>
      </c>
      <c r="C66" s="7" t="s">
        <v>23</v>
      </c>
      <c r="D66" s="8" t="str">
        <f>"223410013307"</f>
        <v>223410013307</v>
      </c>
      <c r="E66" s="9">
        <v>87.2</v>
      </c>
      <c r="F66" s="10">
        <v>74</v>
      </c>
      <c r="G66" s="10">
        <f t="shared" si="2"/>
        <v>73.2</v>
      </c>
    </row>
    <row r="67" s="1" customFormat="1" spans="1:7">
      <c r="A67" s="7" t="str">
        <f>"341001022"</f>
        <v>341001022</v>
      </c>
      <c r="B67" s="7" t="s">
        <v>25</v>
      </c>
      <c r="C67" s="7" t="s">
        <v>23</v>
      </c>
      <c r="D67" s="8" t="str">
        <f>"223410013405"</f>
        <v>223410013405</v>
      </c>
      <c r="E67" s="9">
        <v>83.2</v>
      </c>
      <c r="F67" s="10">
        <v>78.5</v>
      </c>
      <c r="G67" s="10">
        <f t="shared" si="2"/>
        <v>73</v>
      </c>
    </row>
    <row r="68" s="1" customFormat="1" spans="1:7">
      <c r="A68" s="7" t="str">
        <f>"341001022"</f>
        <v>341001022</v>
      </c>
      <c r="B68" s="7" t="s">
        <v>25</v>
      </c>
      <c r="C68" s="7" t="s">
        <v>23</v>
      </c>
      <c r="D68" s="8" t="str">
        <f>"223410012010"</f>
        <v>223410012010</v>
      </c>
      <c r="E68" s="9">
        <v>80.2</v>
      </c>
      <c r="F68" s="10">
        <v>69.17</v>
      </c>
      <c r="G68" s="10">
        <f t="shared" ref="G68:G99" si="3">E68/1.2*0.6+F68*0.4</f>
        <v>67.768</v>
      </c>
    </row>
    <row r="69" s="1" customFormat="1" spans="1:7">
      <c r="A69" s="7" t="str">
        <f>"341001023"</f>
        <v>341001023</v>
      </c>
      <c r="B69" s="7" t="s">
        <v>13</v>
      </c>
      <c r="C69" s="7" t="s">
        <v>23</v>
      </c>
      <c r="D69" s="8" t="str">
        <f>"223410032921"</f>
        <v>223410032921</v>
      </c>
      <c r="E69" s="9">
        <v>97.9</v>
      </c>
      <c r="F69" s="10">
        <v>80.33</v>
      </c>
      <c r="G69" s="10">
        <f t="shared" si="3"/>
        <v>81.082</v>
      </c>
    </row>
    <row r="70" s="1" customFormat="1" spans="1:7">
      <c r="A70" s="7" t="str">
        <f>"341001023"</f>
        <v>341001023</v>
      </c>
      <c r="B70" s="7" t="s">
        <v>13</v>
      </c>
      <c r="C70" s="7" t="s">
        <v>23</v>
      </c>
      <c r="D70" s="8" t="str">
        <f>"223410032823"</f>
        <v>223410032823</v>
      </c>
      <c r="E70" s="9">
        <v>96.4</v>
      </c>
      <c r="F70" s="10">
        <v>81.33</v>
      </c>
      <c r="G70" s="10">
        <f t="shared" si="3"/>
        <v>80.732</v>
      </c>
    </row>
    <row r="71" s="1" customFormat="1" spans="1:7">
      <c r="A71" s="7" t="str">
        <f>"341001023"</f>
        <v>341001023</v>
      </c>
      <c r="B71" s="7" t="s">
        <v>13</v>
      </c>
      <c r="C71" s="7" t="s">
        <v>23</v>
      </c>
      <c r="D71" s="8" t="str">
        <f>"223410032917"</f>
        <v>223410032917</v>
      </c>
      <c r="E71" s="9">
        <v>98.6</v>
      </c>
      <c r="F71" s="10">
        <v>72</v>
      </c>
      <c r="G71" s="10">
        <f t="shared" si="3"/>
        <v>78.1</v>
      </c>
    </row>
    <row r="72" s="1" customFormat="1" spans="1:7">
      <c r="A72" s="7" t="str">
        <f>"341001024"</f>
        <v>341001024</v>
      </c>
      <c r="B72" s="7" t="s">
        <v>26</v>
      </c>
      <c r="C72" s="7" t="s">
        <v>27</v>
      </c>
      <c r="D72" s="8" t="str">
        <f>"223410023220"</f>
        <v>223410023220</v>
      </c>
      <c r="E72" s="9">
        <v>95.2</v>
      </c>
      <c r="F72" s="10">
        <v>79.33</v>
      </c>
      <c r="G72" s="10">
        <f t="shared" si="3"/>
        <v>79.332</v>
      </c>
    </row>
    <row r="73" s="1" customFormat="1" spans="1:7">
      <c r="A73" s="7" t="str">
        <f>"341001024"</f>
        <v>341001024</v>
      </c>
      <c r="B73" s="7" t="s">
        <v>26</v>
      </c>
      <c r="C73" s="7" t="s">
        <v>27</v>
      </c>
      <c r="D73" s="8" t="str">
        <f>"223410023020"</f>
        <v>223410023020</v>
      </c>
      <c r="E73" s="9">
        <v>88.9</v>
      </c>
      <c r="F73" s="10">
        <v>80</v>
      </c>
      <c r="G73" s="10">
        <f t="shared" si="3"/>
        <v>76.45</v>
      </c>
    </row>
    <row r="74" s="1" customFormat="1" spans="1:7">
      <c r="A74" s="7" t="str">
        <f>"341001024"</f>
        <v>341001024</v>
      </c>
      <c r="B74" s="7" t="s">
        <v>26</v>
      </c>
      <c r="C74" s="7" t="s">
        <v>27</v>
      </c>
      <c r="D74" s="8" t="str">
        <f>"223410023427"</f>
        <v>223410023427</v>
      </c>
      <c r="E74" s="9">
        <v>88.3</v>
      </c>
      <c r="F74" s="10">
        <v>77.67</v>
      </c>
      <c r="G74" s="10">
        <f t="shared" si="3"/>
        <v>75.218</v>
      </c>
    </row>
    <row r="75" s="1" customFormat="1" spans="1:7">
      <c r="A75" s="7" t="str">
        <f>"341001025"</f>
        <v>341001025</v>
      </c>
      <c r="B75" s="7" t="s">
        <v>25</v>
      </c>
      <c r="C75" s="7" t="s">
        <v>27</v>
      </c>
      <c r="D75" s="8" t="str">
        <f>"223410010626"</f>
        <v>223410010626</v>
      </c>
      <c r="E75" s="9">
        <v>90.8</v>
      </c>
      <c r="F75" s="10">
        <v>80.17</v>
      </c>
      <c r="G75" s="10">
        <f t="shared" si="3"/>
        <v>77.468</v>
      </c>
    </row>
    <row r="76" s="1" customFormat="1" spans="1:7">
      <c r="A76" s="7" t="str">
        <f>"341001025"</f>
        <v>341001025</v>
      </c>
      <c r="B76" s="7" t="s">
        <v>25</v>
      </c>
      <c r="C76" s="7" t="s">
        <v>27</v>
      </c>
      <c r="D76" s="8" t="str">
        <f>"223410011802"</f>
        <v>223410011802</v>
      </c>
      <c r="E76" s="9">
        <v>83.2</v>
      </c>
      <c r="F76" s="10">
        <v>74.5</v>
      </c>
      <c r="G76" s="10">
        <f t="shared" si="3"/>
        <v>71.4</v>
      </c>
    </row>
    <row r="77" s="1" customFormat="1" spans="1:7">
      <c r="A77" s="7" t="str">
        <f>"341001025"</f>
        <v>341001025</v>
      </c>
      <c r="B77" s="7" t="s">
        <v>25</v>
      </c>
      <c r="C77" s="7" t="s">
        <v>27</v>
      </c>
      <c r="D77" s="8" t="str">
        <f>"223410010726"</f>
        <v>223410010726</v>
      </c>
      <c r="E77" s="9">
        <v>80.6</v>
      </c>
      <c r="F77" s="10">
        <v>68.17</v>
      </c>
      <c r="G77" s="10">
        <f t="shared" si="3"/>
        <v>67.568</v>
      </c>
    </row>
    <row r="78" s="1" customFormat="1" spans="1:7">
      <c r="A78" s="7" t="str">
        <f>"341001026"</f>
        <v>341001026</v>
      </c>
      <c r="B78" s="7" t="s">
        <v>24</v>
      </c>
      <c r="C78" s="7" t="s">
        <v>27</v>
      </c>
      <c r="D78" s="8" t="str">
        <f>"223410021313"</f>
        <v>223410021313</v>
      </c>
      <c r="E78" s="9">
        <v>99</v>
      </c>
      <c r="F78" s="10">
        <v>80.83</v>
      </c>
      <c r="G78" s="10">
        <f t="shared" si="3"/>
        <v>81.832</v>
      </c>
    </row>
    <row r="79" s="1" customFormat="1" spans="1:7">
      <c r="A79" s="7" t="str">
        <f>"341001026"</f>
        <v>341001026</v>
      </c>
      <c r="B79" s="7" t="s">
        <v>24</v>
      </c>
      <c r="C79" s="7" t="s">
        <v>27</v>
      </c>
      <c r="D79" s="8" t="str">
        <f>"223410022029"</f>
        <v>223410022029</v>
      </c>
      <c r="E79" s="9">
        <v>87.9</v>
      </c>
      <c r="F79" s="10">
        <v>86.33</v>
      </c>
      <c r="G79" s="10">
        <f t="shared" si="3"/>
        <v>78.482</v>
      </c>
    </row>
    <row r="80" s="1" customFormat="1" spans="1:7">
      <c r="A80" s="7" t="str">
        <f>"341001026"</f>
        <v>341001026</v>
      </c>
      <c r="B80" s="7" t="s">
        <v>24</v>
      </c>
      <c r="C80" s="7" t="s">
        <v>27</v>
      </c>
      <c r="D80" s="8" t="str">
        <f>"223410022309"</f>
        <v>223410022309</v>
      </c>
      <c r="E80" s="9">
        <v>83.5</v>
      </c>
      <c r="F80" s="10">
        <v>82.83</v>
      </c>
      <c r="G80" s="10">
        <f t="shared" si="3"/>
        <v>74.882</v>
      </c>
    </row>
    <row r="81" s="1" customFormat="1" spans="1:7">
      <c r="A81" s="7" t="str">
        <f>"341001027"</f>
        <v>341001027</v>
      </c>
      <c r="B81" s="7" t="s">
        <v>28</v>
      </c>
      <c r="C81" s="7" t="s">
        <v>27</v>
      </c>
      <c r="D81" s="8" t="str">
        <f>"223410023826"</f>
        <v>223410023826</v>
      </c>
      <c r="E81" s="9">
        <v>91.2</v>
      </c>
      <c r="F81" s="10">
        <v>78.33</v>
      </c>
      <c r="G81" s="10">
        <f t="shared" si="3"/>
        <v>76.932</v>
      </c>
    </row>
    <row r="82" s="1" customFormat="1" spans="1:7">
      <c r="A82" s="7" t="str">
        <f>"341001027"</f>
        <v>341001027</v>
      </c>
      <c r="B82" s="7" t="s">
        <v>28</v>
      </c>
      <c r="C82" s="7" t="s">
        <v>27</v>
      </c>
      <c r="D82" s="8" t="str">
        <f>"223410023930"</f>
        <v>223410023930</v>
      </c>
      <c r="E82" s="9">
        <v>84.8</v>
      </c>
      <c r="F82" s="10">
        <v>75.33</v>
      </c>
      <c r="G82" s="10">
        <f t="shared" si="3"/>
        <v>72.532</v>
      </c>
    </row>
    <row r="83" s="1" customFormat="1" spans="1:7">
      <c r="A83" s="7" t="str">
        <f>"341001027"</f>
        <v>341001027</v>
      </c>
      <c r="B83" s="7" t="s">
        <v>28</v>
      </c>
      <c r="C83" s="7" t="s">
        <v>27</v>
      </c>
      <c r="D83" s="8" t="str">
        <f>"223410023919"</f>
        <v>223410023919</v>
      </c>
      <c r="E83" s="9">
        <v>83.4</v>
      </c>
      <c r="F83" s="10">
        <v>72.83</v>
      </c>
      <c r="G83" s="10">
        <f t="shared" si="3"/>
        <v>70.832</v>
      </c>
    </row>
    <row r="84" s="1" customFormat="1" spans="1:7">
      <c r="A84" s="7" t="str">
        <f t="shared" ref="A84:A92" si="4">"341001028"</f>
        <v>341001028</v>
      </c>
      <c r="B84" s="7" t="s">
        <v>25</v>
      </c>
      <c r="C84" s="7" t="s">
        <v>29</v>
      </c>
      <c r="D84" s="8" t="str">
        <f>"223410012715"</f>
        <v>223410012715</v>
      </c>
      <c r="E84" s="9">
        <v>91.6</v>
      </c>
      <c r="F84" s="10">
        <v>79.33</v>
      </c>
      <c r="G84" s="10">
        <f t="shared" si="3"/>
        <v>77.532</v>
      </c>
    </row>
    <row r="85" s="1" customFormat="1" spans="1:7">
      <c r="A85" s="7" t="str">
        <f t="shared" si="4"/>
        <v>341001028</v>
      </c>
      <c r="B85" s="7" t="s">
        <v>25</v>
      </c>
      <c r="C85" s="7" t="s">
        <v>29</v>
      </c>
      <c r="D85" s="8" t="str">
        <f>"223410011101"</f>
        <v>223410011101</v>
      </c>
      <c r="E85" s="9">
        <v>86.8</v>
      </c>
      <c r="F85" s="10">
        <v>83.83</v>
      </c>
      <c r="G85" s="10">
        <f t="shared" si="3"/>
        <v>76.932</v>
      </c>
    </row>
    <row r="86" s="1" customFormat="1" spans="1:7">
      <c r="A86" s="7" t="str">
        <f t="shared" si="4"/>
        <v>341001028</v>
      </c>
      <c r="B86" s="7" t="s">
        <v>25</v>
      </c>
      <c r="C86" s="7" t="s">
        <v>29</v>
      </c>
      <c r="D86" s="8" t="str">
        <f>"223410012119"</f>
        <v>223410012119</v>
      </c>
      <c r="E86" s="9">
        <v>86.6</v>
      </c>
      <c r="F86" s="10">
        <v>82.83</v>
      </c>
      <c r="G86" s="10">
        <f t="shared" si="3"/>
        <v>76.432</v>
      </c>
    </row>
    <row r="87" s="1" customFormat="1" spans="1:7">
      <c r="A87" s="7" t="str">
        <f t="shared" si="4"/>
        <v>341001028</v>
      </c>
      <c r="B87" s="7" t="s">
        <v>25</v>
      </c>
      <c r="C87" s="7" t="s">
        <v>29</v>
      </c>
      <c r="D87" s="8" t="str">
        <f>"223410012219"</f>
        <v>223410012219</v>
      </c>
      <c r="E87" s="9">
        <v>87.2</v>
      </c>
      <c r="F87" s="10">
        <v>81</v>
      </c>
      <c r="G87" s="10">
        <f t="shared" si="3"/>
        <v>76</v>
      </c>
    </row>
    <row r="88" s="1" customFormat="1" spans="1:7">
      <c r="A88" s="7" t="str">
        <f t="shared" si="4"/>
        <v>341001028</v>
      </c>
      <c r="B88" s="7" t="s">
        <v>25</v>
      </c>
      <c r="C88" s="7" t="s">
        <v>29</v>
      </c>
      <c r="D88" s="8" t="str">
        <f>"223410012829"</f>
        <v>223410012829</v>
      </c>
      <c r="E88" s="9">
        <v>86.8</v>
      </c>
      <c r="F88" s="10">
        <v>80</v>
      </c>
      <c r="G88" s="10">
        <f t="shared" si="3"/>
        <v>75.4</v>
      </c>
    </row>
    <row r="89" s="1" customFormat="1" spans="1:7">
      <c r="A89" s="7" t="str">
        <f t="shared" si="4"/>
        <v>341001028</v>
      </c>
      <c r="B89" s="7" t="s">
        <v>25</v>
      </c>
      <c r="C89" s="7" t="s">
        <v>29</v>
      </c>
      <c r="D89" s="8" t="str">
        <f>"223410011312"</f>
        <v>223410011312</v>
      </c>
      <c r="E89" s="9">
        <v>88.2</v>
      </c>
      <c r="F89" s="10">
        <v>77.33</v>
      </c>
      <c r="G89" s="10">
        <f t="shared" si="3"/>
        <v>75.032</v>
      </c>
    </row>
    <row r="90" s="1" customFormat="1" spans="1:7">
      <c r="A90" s="7" t="str">
        <f t="shared" si="4"/>
        <v>341001028</v>
      </c>
      <c r="B90" s="7" t="s">
        <v>25</v>
      </c>
      <c r="C90" s="7" t="s">
        <v>29</v>
      </c>
      <c r="D90" s="8" t="str">
        <f>"223410010203"</f>
        <v>223410010203</v>
      </c>
      <c r="E90" s="9">
        <v>87.8</v>
      </c>
      <c r="F90" s="10">
        <v>77.5</v>
      </c>
      <c r="G90" s="10">
        <f t="shared" si="3"/>
        <v>74.9</v>
      </c>
    </row>
    <row r="91" s="1" customFormat="1" spans="1:7">
      <c r="A91" s="7" t="str">
        <f t="shared" si="4"/>
        <v>341001028</v>
      </c>
      <c r="B91" s="7" t="s">
        <v>25</v>
      </c>
      <c r="C91" s="7" t="s">
        <v>29</v>
      </c>
      <c r="D91" s="8" t="str">
        <f>"223410012102"</f>
        <v>223410012102</v>
      </c>
      <c r="E91" s="9">
        <v>91</v>
      </c>
      <c r="F91" s="10" t="s">
        <v>12</v>
      </c>
      <c r="G91" s="10" t="s">
        <v>12</v>
      </c>
    </row>
    <row r="92" s="1" customFormat="1" spans="1:7">
      <c r="A92" s="7" t="str">
        <f t="shared" si="4"/>
        <v>341001028</v>
      </c>
      <c r="B92" s="7" t="s">
        <v>25</v>
      </c>
      <c r="C92" s="7" t="s">
        <v>29</v>
      </c>
      <c r="D92" s="8" t="str">
        <f>"223410010413"</f>
        <v>223410010413</v>
      </c>
      <c r="E92" s="9">
        <v>85</v>
      </c>
      <c r="F92" s="10" t="s">
        <v>12</v>
      </c>
      <c r="G92" s="10" t="s">
        <v>12</v>
      </c>
    </row>
    <row r="93" s="1" customFormat="1" spans="1:7">
      <c r="A93" s="7" t="str">
        <f t="shared" ref="A93:A98" si="5">"341001029"</f>
        <v>341001029</v>
      </c>
      <c r="B93" s="7" t="s">
        <v>24</v>
      </c>
      <c r="C93" s="7" t="s">
        <v>29</v>
      </c>
      <c r="D93" s="8" t="str">
        <f>"223410020906"</f>
        <v>223410020906</v>
      </c>
      <c r="E93" s="9">
        <v>95.2</v>
      </c>
      <c r="F93" s="10">
        <v>86.5</v>
      </c>
      <c r="G93" s="10">
        <f t="shared" si="3"/>
        <v>82.2</v>
      </c>
    </row>
    <row r="94" s="1" customFormat="1" spans="1:7">
      <c r="A94" s="7" t="str">
        <f t="shared" si="5"/>
        <v>341001029</v>
      </c>
      <c r="B94" s="7" t="s">
        <v>24</v>
      </c>
      <c r="C94" s="7" t="s">
        <v>29</v>
      </c>
      <c r="D94" s="8" t="str">
        <f>"223410022028"</f>
        <v>223410022028</v>
      </c>
      <c r="E94" s="9">
        <v>98.8</v>
      </c>
      <c r="F94" s="10">
        <v>77</v>
      </c>
      <c r="G94" s="10">
        <f t="shared" si="3"/>
        <v>80.2</v>
      </c>
    </row>
    <row r="95" s="1" customFormat="1" spans="1:7">
      <c r="A95" s="7" t="str">
        <f t="shared" si="5"/>
        <v>341001029</v>
      </c>
      <c r="B95" s="7" t="s">
        <v>24</v>
      </c>
      <c r="C95" s="7" t="s">
        <v>29</v>
      </c>
      <c r="D95" s="8" t="str">
        <f>"223410020830"</f>
        <v>223410020830</v>
      </c>
      <c r="E95" s="9">
        <v>90.4</v>
      </c>
      <c r="F95" s="10">
        <v>80.83</v>
      </c>
      <c r="G95" s="10">
        <f t="shared" si="3"/>
        <v>77.532</v>
      </c>
    </row>
    <row r="96" s="1" customFormat="1" spans="1:7">
      <c r="A96" s="7" t="str">
        <f t="shared" si="5"/>
        <v>341001029</v>
      </c>
      <c r="B96" s="7" t="s">
        <v>24</v>
      </c>
      <c r="C96" s="7" t="s">
        <v>29</v>
      </c>
      <c r="D96" s="8" t="str">
        <f>"223410020518"</f>
        <v>223410020518</v>
      </c>
      <c r="E96" s="9">
        <v>91</v>
      </c>
      <c r="F96" s="10">
        <v>76.83</v>
      </c>
      <c r="G96" s="10">
        <f t="shared" si="3"/>
        <v>76.232</v>
      </c>
    </row>
    <row r="97" s="1" customFormat="1" spans="1:7">
      <c r="A97" s="7" t="str">
        <f t="shared" si="5"/>
        <v>341001029</v>
      </c>
      <c r="B97" s="7" t="s">
        <v>24</v>
      </c>
      <c r="C97" s="7" t="s">
        <v>29</v>
      </c>
      <c r="D97" s="8" t="str">
        <f>"223410020617"</f>
        <v>223410020617</v>
      </c>
      <c r="E97" s="9">
        <v>86.2</v>
      </c>
      <c r="F97" s="10">
        <v>80.17</v>
      </c>
      <c r="G97" s="10">
        <f t="shared" si="3"/>
        <v>75.168</v>
      </c>
    </row>
    <row r="98" s="1" customFormat="1" spans="1:7">
      <c r="A98" s="7" t="str">
        <f t="shared" si="5"/>
        <v>341001029</v>
      </c>
      <c r="B98" s="7" t="s">
        <v>24</v>
      </c>
      <c r="C98" s="7" t="s">
        <v>29</v>
      </c>
      <c r="D98" s="8" t="str">
        <f>"223410020514"</f>
        <v>223410020514</v>
      </c>
      <c r="E98" s="9">
        <v>86</v>
      </c>
      <c r="F98" s="10">
        <v>77.67</v>
      </c>
      <c r="G98" s="10">
        <f t="shared" si="3"/>
        <v>74.068</v>
      </c>
    </row>
    <row r="99" s="1" customFormat="1" spans="1:7">
      <c r="A99" s="7" t="str">
        <f>"341001030"</f>
        <v>341001030</v>
      </c>
      <c r="B99" s="7" t="s">
        <v>26</v>
      </c>
      <c r="C99" s="7" t="s">
        <v>29</v>
      </c>
      <c r="D99" s="8" t="str">
        <f>"223410023510"</f>
        <v>223410023510</v>
      </c>
      <c r="E99" s="9">
        <v>101.6</v>
      </c>
      <c r="F99" s="10">
        <v>78.33</v>
      </c>
      <c r="G99" s="10">
        <f t="shared" si="3"/>
        <v>82.132</v>
      </c>
    </row>
    <row r="100" s="1" customFormat="1" spans="1:7">
      <c r="A100" s="7" t="str">
        <f>"341001030"</f>
        <v>341001030</v>
      </c>
      <c r="B100" s="7" t="s">
        <v>26</v>
      </c>
      <c r="C100" s="7" t="s">
        <v>29</v>
      </c>
      <c r="D100" s="8" t="str">
        <f>"223410023423"</f>
        <v>223410023423</v>
      </c>
      <c r="E100" s="9">
        <v>95.7</v>
      </c>
      <c r="F100" s="10">
        <v>79.67</v>
      </c>
      <c r="G100" s="10">
        <f t="shared" ref="G100:G119" si="6">E100/1.2*0.6+F100*0.4</f>
        <v>79.718</v>
      </c>
    </row>
    <row r="101" s="1" customFormat="1" spans="1:7">
      <c r="A101" s="7" t="str">
        <f>"341001030"</f>
        <v>341001030</v>
      </c>
      <c r="B101" s="7" t="s">
        <v>26</v>
      </c>
      <c r="C101" s="7" t="s">
        <v>29</v>
      </c>
      <c r="D101" s="8" t="str">
        <f>"223410023320"</f>
        <v>223410023320</v>
      </c>
      <c r="E101" s="9">
        <v>93.7</v>
      </c>
      <c r="F101" s="10">
        <v>75</v>
      </c>
      <c r="G101" s="10">
        <f t="shared" si="6"/>
        <v>76.85</v>
      </c>
    </row>
    <row r="102" s="1" customFormat="1" spans="1:7">
      <c r="A102" s="7" t="str">
        <f>"341001031"</f>
        <v>341001031</v>
      </c>
      <c r="B102" s="7" t="s">
        <v>24</v>
      </c>
      <c r="C102" s="7" t="s">
        <v>30</v>
      </c>
      <c r="D102" s="8" t="str">
        <f>"223410021602"</f>
        <v>223410021602</v>
      </c>
      <c r="E102" s="9">
        <v>89.2</v>
      </c>
      <c r="F102" s="10">
        <v>83.83</v>
      </c>
      <c r="G102" s="10">
        <f t="shared" si="6"/>
        <v>78.132</v>
      </c>
    </row>
    <row r="103" s="1" customFormat="1" spans="1:7">
      <c r="A103" s="7" t="str">
        <f>"341001031"</f>
        <v>341001031</v>
      </c>
      <c r="B103" s="7" t="s">
        <v>24</v>
      </c>
      <c r="C103" s="7" t="s">
        <v>30</v>
      </c>
      <c r="D103" s="8" t="str">
        <f>"223410021505"</f>
        <v>223410021505</v>
      </c>
      <c r="E103" s="9">
        <v>89.4</v>
      </c>
      <c r="F103" s="10">
        <v>79.67</v>
      </c>
      <c r="G103" s="10">
        <f t="shared" si="6"/>
        <v>76.568</v>
      </c>
    </row>
    <row r="104" s="1" customFormat="1" spans="1:7">
      <c r="A104" s="7" t="str">
        <f>"341001031"</f>
        <v>341001031</v>
      </c>
      <c r="B104" s="7" t="s">
        <v>24</v>
      </c>
      <c r="C104" s="7" t="s">
        <v>30</v>
      </c>
      <c r="D104" s="8" t="str">
        <f>"223410021610"</f>
        <v>223410021610</v>
      </c>
      <c r="E104" s="9">
        <v>87.5</v>
      </c>
      <c r="F104" s="10">
        <v>78.67</v>
      </c>
      <c r="G104" s="10">
        <f t="shared" si="6"/>
        <v>75.218</v>
      </c>
    </row>
    <row r="105" s="1" customFormat="1" spans="1:7">
      <c r="A105" s="7" t="str">
        <f>"341001032"</f>
        <v>341001032</v>
      </c>
      <c r="B105" s="7" t="s">
        <v>25</v>
      </c>
      <c r="C105" s="7" t="s">
        <v>30</v>
      </c>
      <c r="D105" s="8" t="str">
        <f>"223410013010"</f>
        <v>223410013010</v>
      </c>
      <c r="E105" s="9">
        <v>83.6</v>
      </c>
      <c r="F105" s="10">
        <v>79.33</v>
      </c>
      <c r="G105" s="10">
        <f t="shared" si="6"/>
        <v>73.532</v>
      </c>
    </row>
    <row r="106" s="1" customFormat="1" spans="1:7">
      <c r="A106" s="7" t="str">
        <f>"341001032"</f>
        <v>341001032</v>
      </c>
      <c r="B106" s="7" t="s">
        <v>25</v>
      </c>
      <c r="C106" s="7" t="s">
        <v>30</v>
      </c>
      <c r="D106" s="8" t="str">
        <f>"223410012514"</f>
        <v>223410012514</v>
      </c>
      <c r="E106" s="9">
        <v>81.4</v>
      </c>
      <c r="F106" s="10">
        <v>79.33</v>
      </c>
      <c r="G106" s="10">
        <f t="shared" si="6"/>
        <v>72.432</v>
      </c>
    </row>
    <row r="107" s="1" customFormat="1" spans="1:7">
      <c r="A107" s="7" t="str">
        <f>"341001032"</f>
        <v>341001032</v>
      </c>
      <c r="B107" s="7" t="s">
        <v>25</v>
      </c>
      <c r="C107" s="7" t="s">
        <v>30</v>
      </c>
      <c r="D107" s="8" t="str">
        <f>"223410012601"</f>
        <v>223410012601</v>
      </c>
      <c r="E107" s="9">
        <v>78.2</v>
      </c>
      <c r="F107" s="10">
        <v>75.5</v>
      </c>
      <c r="G107" s="10">
        <f t="shared" si="6"/>
        <v>69.3</v>
      </c>
    </row>
    <row r="108" s="1" customFormat="1" spans="1:7">
      <c r="A108" s="7" t="str">
        <f>"341001033"</f>
        <v>341001033</v>
      </c>
      <c r="B108" s="7" t="s">
        <v>31</v>
      </c>
      <c r="C108" s="7" t="s">
        <v>30</v>
      </c>
      <c r="D108" s="8" t="str">
        <f>"223410014116"</f>
        <v>223410014116</v>
      </c>
      <c r="E108" s="9">
        <v>93.2</v>
      </c>
      <c r="F108" s="10">
        <v>82</v>
      </c>
      <c r="G108" s="10">
        <f t="shared" si="6"/>
        <v>79.4</v>
      </c>
    </row>
    <row r="109" s="1" customFormat="1" spans="1:7">
      <c r="A109" s="7" t="str">
        <f>"341001033"</f>
        <v>341001033</v>
      </c>
      <c r="B109" s="7" t="s">
        <v>31</v>
      </c>
      <c r="C109" s="7" t="s">
        <v>30</v>
      </c>
      <c r="D109" s="8" t="str">
        <f>"223410013730"</f>
        <v>223410013730</v>
      </c>
      <c r="E109" s="9">
        <v>94.2</v>
      </c>
      <c r="F109" s="10">
        <v>76.67</v>
      </c>
      <c r="G109" s="10">
        <f t="shared" si="6"/>
        <v>77.768</v>
      </c>
    </row>
    <row r="110" s="1" customFormat="1" spans="1:7">
      <c r="A110" s="7" t="str">
        <f>"341001033"</f>
        <v>341001033</v>
      </c>
      <c r="B110" s="7" t="s">
        <v>31</v>
      </c>
      <c r="C110" s="7" t="s">
        <v>30</v>
      </c>
      <c r="D110" s="8" t="str">
        <f>"223410013612"</f>
        <v>223410013612</v>
      </c>
      <c r="E110" s="9">
        <v>89.6</v>
      </c>
      <c r="F110" s="10">
        <v>80.67</v>
      </c>
      <c r="G110" s="10">
        <f t="shared" si="6"/>
        <v>77.068</v>
      </c>
    </row>
    <row r="111" s="1" customFormat="1" spans="1:7">
      <c r="A111" s="7" t="str">
        <f>"341001035"</f>
        <v>341001035</v>
      </c>
      <c r="B111" s="7" t="s">
        <v>28</v>
      </c>
      <c r="C111" s="7" t="s">
        <v>30</v>
      </c>
      <c r="D111" s="8" t="str">
        <f>"223410023705"</f>
        <v>223410023705</v>
      </c>
      <c r="E111" s="9">
        <v>73.2</v>
      </c>
      <c r="F111" s="10">
        <v>72.17</v>
      </c>
      <c r="G111" s="10">
        <f t="shared" si="6"/>
        <v>65.468</v>
      </c>
    </row>
    <row r="112" s="1" customFormat="1" spans="1:7">
      <c r="A112" s="7" t="str">
        <f>"341001035"</f>
        <v>341001035</v>
      </c>
      <c r="B112" s="7" t="s">
        <v>28</v>
      </c>
      <c r="C112" s="7" t="s">
        <v>30</v>
      </c>
      <c r="D112" s="8" t="str">
        <f>"223410023704"</f>
        <v>223410023704</v>
      </c>
      <c r="E112" s="9">
        <v>71.7</v>
      </c>
      <c r="F112" s="10">
        <v>72.67</v>
      </c>
      <c r="G112" s="10">
        <f t="shared" si="6"/>
        <v>64.918</v>
      </c>
    </row>
    <row r="113" s="1" customFormat="1" spans="1:7">
      <c r="A113" s="7" t="str">
        <f>"341001035"</f>
        <v>341001035</v>
      </c>
      <c r="B113" s="7" t="s">
        <v>28</v>
      </c>
      <c r="C113" s="7" t="s">
        <v>30</v>
      </c>
      <c r="D113" s="8" t="str">
        <f>"223410023927"</f>
        <v>223410023927</v>
      </c>
      <c r="E113" s="9">
        <v>66.2</v>
      </c>
      <c r="F113" s="10">
        <v>71.67</v>
      </c>
      <c r="G113" s="10">
        <f t="shared" si="6"/>
        <v>61.768</v>
      </c>
    </row>
    <row r="114" s="1" customFormat="1" spans="1:7">
      <c r="A114" s="7" t="str">
        <f>"341001036"</f>
        <v>341001036</v>
      </c>
      <c r="B114" s="7" t="s">
        <v>31</v>
      </c>
      <c r="C114" s="7" t="s">
        <v>32</v>
      </c>
      <c r="D114" s="8" t="str">
        <f>"223410013801"</f>
        <v>223410013801</v>
      </c>
      <c r="E114" s="9">
        <v>91.2</v>
      </c>
      <c r="F114" s="10">
        <v>85.67</v>
      </c>
      <c r="G114" s="10">
        <f t="shared" si="6"/>
        <v>79.868</v>
      </c>
    </row>
    <row r="115" s="1" customFormat="1" spans="1:7">
      <c r="A115" s="7" t="str">
        <f>"341001036"</f>
        <v>341001036</v>
      </c>
      <c r="B115" s="7" t="s">
        <v>31</v>
      </c>
      <c r="C115" s="7" t="s">
        <v>32</v>
      </c>
      <c r="D115" s="8" t="str">
        <f>"223410013906"</f>
        <v>223410013906</v>
      </c>
      <c r="E115" s="9">
        <v>89</v>
      </c>
      <c r="F115" s="10">
        <v>76.67</v>
      </c>
      <c r="G115" s="10">
        <f t="shared" si="6"/>
        <v>75.168</v>
      </c>
    </row>
    <row r="116" s="1" customFormat="1" spans="1:7">
      <c r="A116" s="7" t="str">
        <f>"341001036"</f>
        <v>341001036</v>
      </c>
      <c r="B116" s="7" t="s">
        <v>31</v>
      </c>
      <c r="C116" s="7" t="s">
        <v>32</v>
      </c>
      <c r="D116" s="8" t="str">
        <f>"223410013608"</f>
        <v>223410013608</v>
      </c>
      <c r="E116" s="9">
        <v>90.8</v>
      </c>
      <c r="F116" s="10">
        <v>71.67</v>
      </c>
      <c r="G116" s="10">
        <f t="shared" si="6"/>
        <v>74.068</v>
      </c>
    </row>
    <row r="117" s="1" customFormat="1" spans="1:7">
      <c r="A117" s="7" t="str">
        <f>"341001037"</f>
        <v>341001037</v>
      </c>
      <c r="B117" s="7" t="s">
        <v>25</v>
      </c>
      <c r="C117" s="7" t="s">
        <v>33</v>
      </c>
      <c r="D117" s="8" t="str">
        <f>"223410011508"</f>
        <v>223410011508</v>
      </c>
      <c r="E117" s="9">
        <v>84.6</v>
      </c>
      <c r="F117" s="10">
        <v>74.67</v>
      </c>
      <c r="G117" s="10">
        <f t="shared" si="6"/>
        <v>72.168</v>
      </c>
    </row>
    <row r="118" s="1" customFormat="1" spans="1:7">
      <c r="A118" s="7" t="str">
        <f>"341001037"</f>
        <v>341001037</v>
      </c>
      <c r="B118" s="7" t="s">
        <v>25</v>
      </c>
      <c r="C118" s="7" t="s">
        <v>33</v>
      </c>
      <c r="D118" s="8" t="str">
        <f>"223410010511"</f>
        <v>223410010511</v>
      </c>
      <c r="E118" s="9">
        <v>79.8</v>
      </c>
      <c r="F118" s="10">
        <v>70.5</v>
      </c>
      <c r="G118" s="10">
        <f t="shared" si="6"/>
        <v>68.1</v>
      </c>
    </row>
    <row r="119" s="1" customFormat="1" spans="1:7">
      <c r="A119" s="7" t="str">
        <f>"341001037"</f>
        <v>341001037</v>
      </c>
      <c r="B119" s="7" t="s">
        <v>25</v>
      </c>
      <c r="C119" s="7" t="s">
        <v>33</v>
      </c>
      <c r="D119" s="8" t="str">
        <f>"223410011125"</f>
        <v>223410011125</v>
      </c>
      <c r="E119" s="9">
        <v>78.4</v>
      </c>
      <c r="F119" s="10" t="s">
        <v>12</v>
      </c>
      <c r="G119" s="10" t="s">
        <v>12</v>
      </c>
    </row>
  </sheetData>
  <autoFilter ref="A1:G119">
    <extLst/>
  </autoFilter>
  <sortState ref="A2:AT118">
    <sortCondition ref="A2:A118"/>
  </sortState>
  <mergeCells count="1">
    <mergeCell ref="A1:G1"/>
  </mergeCells>
  <conditionalFormatting sqref="D2:D62222">
    <cfRule type="duplicateValues" dxfId="0" priority="1"/>
  </conditionalFormatting>
  <pageMargins left="0.393055555555556" right="0.393055555555556" top="0.511805555555556" bottom="0.629861111111111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2022-07-04T10:03:00Z</dcterms:created>
  <dcterms:modified xsi:type="dcterms:W3CDTF">2022-08-03T00:56:24Z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0973B49452944CDD9102A1332CD0A468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