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990"/>
  </bookViews>
  <sheets>
    <sheet name="1" sheetId="2" r:id="rId1"/>
  </sheets>
  <definedNames>
    <definedName name="_xlnm._FilterDatabase" localSheetId="0" hidden="1">'1'!$A$1:$G$614</definedName>
  </definedNames>
  <calcPr calcId="144525"/>
</workbook>
</file>

<file path=xl/sharedStrings.xml><?xml version="1.0" encoding="utf-8"?>
<sst xmlns="http://schemas.openxmlformats.org/spreadsheetml/2006/main" count="1242" uniqueCount="46">
  <si>
    <t>2022年度黄山市市直中小学新任教师公开招聘笔试成绩</t>
  </si>
  <si>
    <t>1报考岗位</t>
  </si>
  <si>
    <t>座位号</t>
  </si>
  <si>
    <t>学科专业知识成绩</t>
  </si>
  <si>
    <t>教育综合知识成绩</t>
  </si>
  <si>
    <t>合成笔试
成绩</t>
  </si>
  <si>
    <t>政策加分</t>
  </si>
  <si>
    <t>最终笔试
成绩</t>
  </si>
  <si>
    <t>341001001-初中道德与法治(黄山市屯溪第三中学)</t>
  </si>
  <si>
    <t>缺考</t>
  </si>
  <si>
    <t>341001002-初中体育(黄山市屯溪第四中学)</t>
  </si>
  <si>
    <t>341001003-初中英语(黄山市屯溪第四中学)</t>
  </si>
  <si>
    <t>341001004-初中历史(黄山市屯溪第四中学)</t>
  </si>
  <si>
    <t>341001005-初中语文(黄山市屯溪第四中学)</t>
  </si>
  <si>
    <t>341001006-初中数学(黄山市屯溪第四中学)</t>
  </si>
  <si>
    <t>341001007-初中道德与法治(黄山市屯溪第四中学)</t>
  </si>
  <si>
    <t>341001008-初中数学(黄山市屯溪第五中学)</t>
  </si>
  <si>
    <t>341001009-初中生物(黄山市屯溪第五中学)</t>
  </si>
  <si>
    <t>341001010-初中数学(黄山市屯溪第五中学)</t>
  </si>
  <si>
    <t>341001011-初中道德与法治(黄山市屯溪第五中学)</t>
  </si>
  <si>
    <t>341001012-初中语文(黄山市屯溪第五中学)</t>
  </si>
  <si>
    <t>341001013-初中体育(黄山市屯溪第六中学)</t>
  </si>
  <si>
    <t>341001014-初中体育(黄山市屯溪第六中学)</t>
  </si>
  <si>
    <t>341001015-初中道德与法治(黄山市屯溪第六中学)</t>
  </si>
  <si>
    <t>341001016-初中历史(黄山市屯溪第六中学)</t>
  </si>
  <si>
    <t>341001017-初中化学(黄山市屯溪第六中学)</t>
  </si>
  <si>
    <t>341001018-初中数学(黄山市屯溪第六中学)</t>
  </si>
  <si>
    <t>341001019-初中心理健康(黄山市屯溪第六中学)</t>
  </si>
  <si>
    <t>341001020-小学科学(黄山市新城实验学校)</t>
  </si>
  <si>
    <t>341001021-小学数学(黄山市新城实验学校)</t>
  </si>
  <si>
    <t>341001022-小学语文(黄山市新城实验学校)</t>
  </si>
  <si>
    <t>341001023-初中英语(黄山市新城实验学校)</t>
  </si>
  <si>
    <t>341001024-小学英语(黄山市梅林实验学校)</t>
  </si>
  <si>
    <t>341001025-小学语文(黄山市梅林实验学校)</t>
  </si>
  <si>
    <t>341001026-小学数学(黄山市梅林实验学校)</t>
  </si>
  <si>
    <t>341001027-小学体育(黄山市梅林实验学校)</t>
  </si>
  <si>
    <t>341001028-小学语文(黄山育才学校)</t>
  </si>
  <si>
    <t>341001029-小学数学(黄山育才学校)</t>
  </si>
  <si>
    <t>341001030-小学英语(黄山育才学校)</t>
  </si>
  <si>
    <t>341001031-小学数学(黄山市实验小学)</t>
  </si>
  <si>
    <t>341001032-小学语文(黄山市实验小学)</t>
  </si>
  <si>
    <t>341001033-小学美术(黄山市实验小学)</t>
  </si>
  <si>
    <t>341001034-小学舞蹈(黄山市实验小学)</t>
  </si>
  <si>
    <t>341001035-小学体育(黄山市实验小学)</t>
  </si>
  <si>
    <t>341001036-小学美术(黄山市特殊教育学校)</t>
  </si>
  <si>
    <t>341001037-小学语文(黄山市新潭小学)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</si>
</sst>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3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b/>
      <sz val="18"/>
      <name val="宋体"/>
      <charset val="0"/>
    </font>
    <font>
      <b/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G614"/>
  <sheetViews>
    <sheetView tabSelected="1" topLeftCell="A550" workbookViewId="0">
      <selection activeCell="A565" sqref="A565:A567"/>
    </sheetView>
  </sheetViews>
  <sheetFormatPr defaultColWidth="8.725" defaultRowHeight="13.5" outlineLevelCol="6"/>
  <cols>
    <col min="1" max="1" width="46.25" customWidth="1"/>
    <col min="2" max="2" width="15.375" customWidth="1"/>
    <col min="3" max="3" width="11.75" style="1" customWidth="1"/>
    <col min="4" max="4" width="12.75" style="1" customWidth="1"/>
    <col min="5" max="5" width="11" customWidth="1"/>
    <col min="6" max="6" width="9.625" customWidth="1"/>
    <col min="7" max="7" width="10.5" customWidth="1"/>
  </cols>
  <sheetData>
    <row r="1" ht="29" customHeight="1" spans="1:7">
      <c r="A1" s="2" t="s">
        <v>0</v>
      </c>
      <c r="B1" s="3"/>
      <c r="C1" s="3"/>
      <c r="D1" s="3"/>
      <c r="E1" s="3"/>
      <c r="F1" s="3"/>
      <c r="G1" s="3"/>
    </row>
    <row r="2" ht="27" spans="1:7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6" t="s">
        <v>6</v>
      </c>
      <c r="G2" s="5" t="s">
        <v>7</v>
      </c>
    </row>
    <row r="3" spans="1:7">
      <c r="A3" s="7" t="s">
        <v>8</v>
      </c>
      <c r="B3" s="7" t="str">
        <f>"223410031305"</f>
        <v>223410031305</v>
      </c>
      <c r="C3" s="7" t="s">
        <v>9</v>
      </c>
      <c r="D3" s="7" t="s">
        <v>9</v>
      </c>
      <c r="E3" s="7" t="s">
        <v>9</v>
      </c>
      <c r="F3" s="7"/>
      <c r="G3" s="7" t="s">
        <v>9</v>
      </c>
    </row>
    <row r="4" spans="1:7">
      <c r="A4" s="7" t="s">
        <v>8</v>
      </c>
      <c r="B4" s="7" t="str">
        <f>"223410031405"</f>
        <v>223410031405</v>
      </c>
      <c r="C4" s="7" t="s">
        <v>9</v>
      </c>
      <c r="D4" s="7" t="s">
        <v>9</v>
      </c>
      <c r="E4" s="7" t="s">
        <v>9</v>
      </c>
      <c r="F4" s="7"/>
      <c r="G4" s="7" t="s">
        <v>9</v>
      </c>
    </row>
    <row r="5" spans="1:7">
      <c r="A5" s="7" t="s">
        <v>8</v>
      </c>
      <c r="B5" s="7" t="str">
        <f>"223410031311"</f>
        <v>223410031311</v>
      </c>
      <c r="C5" s="7">
        <v>86</v>
      </c>
      <c r="D5" s="7">
        <v>83</v>
      </c>
      <c r="E5" s="7">
        <f>C5*0.6+D5*0.4</f>
        <v>84.8</v>
      </c>
      <c r="F5" s="7"/>
      <c r="G5" s="7">
        <f>E5+F5</f>
        <v>84.8</v>
      </c>
    </row>
    <row r="6" spans="1:7">
      <c r="A6" s="7" t="s">
        <v>8</v>
      </c>
      <c r="B6" s="7" t="str">
        <f>"223410031301"</f>
        <v>223410031301</v>
      </c>
      <c r="C6" s="7">
        <v>82</v>
      </c>
      <c r="D6" s="7">
        <v>87</v>
      </c>
      <c r="E6" s="7">
        <f>C6*0.6+D6*0.4</f>
        <v>84</v>
      </c>
      <c r="F6" s="7"/>
      <c r="G6" s="7">
        <f>E6+F6</f>
        <v>84</v>
      </c>
    </row>
    <row r="7" spans="1:7">
      <c r="A7" s="7" t="s">
        <v>8</v>
      </c>
      <c r="B7" s="7" t="str">
        <f>"223410031420"</f>
        <v>223410031420</v>
      </c>
      <c r="C7" s="7">
        <v>85</v>
      </c>
      <c r="D7" s="7">
        <v>82</v>
      </c>
      <c r="E7" s="7">
        <f>C7*0.6+D7*0.4</f>
        <v>83.8</v>
      </c>
      <c r="F7" s="7"/>
      <c r="G7" s="7">
        <f>E7+F7</f>
        <v>83.8</v>
      </c>
    </row>
    <row r="8" spans="1:7">
      <c r="A8" s="7" t="s">
        <v>8</v>
      </c>
      <c r="B8" s="7" t="str">
        <f>"223410031430"</f>
        <v>223410031430</v>
      </c>
      <c r="C8" s="7">
        <v>78</v>
      </c>
      <c r="D8" s="7">
        <v>75</v>
      </c>
      <c r="E8" s="7">
        <f>C8*0.6+D8*0.4</f>
        <v>76.8</v>
      </c>
      <c r="F8" s="7"/>
      <c r="G8" s="7">
        <f>E8+F8</f>
        <v>76.8</v>
      </c>
    </row>
    <row r="9" spans="1:7">
      <c r="A9" s="7" t="s">
        <v>10</v>
      </c>
      <c r="B9" s="7" t="str">
        <f>"223410030617"</f>
        <v>223410030617</v>
      </c>
      <c r="C9" s="7" t="s">
        <v>9</v>
      </c>
      <c r="D9" s="7" t="s">
        <v>9</v>
      </c>
      <c r="E9" s="7" t="s">
        <v>9</v>
      </c>
      <c r="F9" s="7"/>
      <c r="G9" s="7" t="s">
        <v>9</v>
      </c>
    </row>
    <row r="10" spans="1:7">
      <c r="A10" s="7" t="s">
        <v>10</v>
      </c>
      <c r="B10" s="7" t="str">
        <f>"223410030620"</f>
        <v>223410030620</v>
      </c>
      <c r="C10" s="7" t="s">
        <v>9</v>
      </c>
      <c r="D10" s="7" t="s">
        <v>9</v>
      </c>
      <c r="E10" s="7" t="s">
        <v>9</v>
      </c>
      <c r="F10" s="7"/>
      <c r="G10" s="7" t="s">
        <v>9</v>
      </c>
    </row>
    <row r="11" spans="1:7">
      <c r="A11" s="7" t="s">
        <v>10</v>
      </c>
      <c r="B11" s="7" t="str">
        <f>"223410030702"</f>
        <v>223410030702</v>
      </c>
      <c r="C11" s="7" t="s">
        <v>9</v>
      </c>
      <c r="D11" s="7" t="s">
        <v>9</v>
      </c>
      <c r="E11" s="7" t="s">
        <v>9</v>
      </c>
      <c r="F11" s="7"/>
      <c r="G11" s="7" t="s">
        <v>9</v>
      </c>
    </row>
    <row r="12" spans="1:7">
      <c r="A12" s="7" t="s">
        <v>10</v>
      </c>
      <c r="B12" s="7" t="str">
        <f>"223410030809"</f>
        <v>223410030809</v>
      </c>
      <c r="C12" s="7" t="s">
        <v>9</v>
      </c>
      <c r="D12" s="7" t="s">
        <v>9</v>
      </c>
      <c r="E12" s="7" t="s">
        <v>9</v>
      </c>
      <c r="F12" s="7"/>
      <c r="G12" s="7" t="s">
        <v>9</v>
      </c>
    </row>
    <row r="13" spans="1:7">
      <c r="A13" s="7" t="s">
        <v>10</v>
      </c>
      <c r="B13" s="7" t="str">
        <f>"223410030817"</f>
        <v>223410030817</v>
      </c>
      <c r="C13" s="7" t="s">
        <v>9</v>
      </c>
      <c r="D13" s="7" t="s">
        <v>9</v>
      </c>
      <c r="E13" s="7" t="s">
        <v>9</v>
      </c>
      <c r="F13" s="7"/>
      <c r="G13" s="7" t="s">
        <v>9</v>
      </c>
    </row>
    <row r="14" spans="1:7">
      <c r="A14" s="7" t="s">
        <v>10</v>
      </c>
      <c r="B14" s="7" t="str">
        <f>"223410030819"</f>
        <v>223410030819</v>
      </c>
      <c r="C14" s="7" t="s">
        <v>9</v>
      </c>
      <c r="D14" s="7" t="s">
        <v>9</v>
      </c>
      <c r="E14" s="7" t="s">
        <v>9</v>
      </c>
      <c r="F14" s="7"/>
      <c r="G14" s="7" t="s">
        <v>9</v>
      </c>
    </row>
    <row r="15" spans="1:7">
      <c r="A15" s="7" t="s">
        <v>10</v>
      </c>
      <c r="B15" s="7" t="str">
        <f>"223410030826"</f>
        <v>223410030826</v>
      </c>
      <c r="C15" s="7" t="s">
        <v>9</v>
      </c>
      <c r="D15" s="7" t="s">
        <v>9</v>
      </c>
      <c r="E15" s="7" t="s">
        <v>9</v>
      </c>
      <c r="F15" s="7"/>
      <c r="G15" s="7" t="s">
        <v>9</v>
      </c>
    </row>
    <row r="16" spans="1:7">
      <c r="A16" s="7" t="s">
        <v>10</v>
      </c>
      <c r="B16" s="7" t="str">
        <f>"223410030827"</f>
        <v>223410030827</v>
      </c>
      <c r="C16" s="7" t="s">
        <v>9</v>
      </c>
      <c r="D16" s="7" t="s">
        <v>9</v>
      </c>
      <c r="E16" s="7" t="s">
        <v>9</v>
      </c>
      <c r="F16" s="7"/>
      <c r="G16" s="7" t="s">
        <v>9</v>
      </c>
    </row>
    <row r="17" spans="1:7">
      <c r="A17" s="7" t="s">
        <v>10</v>
      </c>
      <c r="B17" s="7" t="str">
        <f>"223410030808"</f>
        <v>223410030808</v>
      </c>
      <c r="C17" s="7">
        <v>94</v>
      </c>
      <c r="D17" s="7">
        <v>93</v>
      </c>
      <c r="E17" s="7">
        <f t="shared" ref="E17:E41" si="0">C17*0.6+D17*0.4</f>
        <v>93.6</v>
      </c>
      <c r="F17" s="7"/>
      <c r="G17" s="7">
        <f t="shared" ref="G17:G42" si="1">E17+F17</f>
        <v>93.6</v>
      </c>
    </row>
    <row r="18" spans="1:7">
      <c r="A18" s="7" t="s">
        <v>10</v>
      </c>
      <c r="B18" s="7" t="str">
        <f>"223410030612"</f>
        <v>223410030612</v>
      </c>
      <c r="C18" s="7">
        <v>94</v>
      </c>
      <c r="D18" s="7">
        <v>92</v>
      </c>
      <c r="E18" s="7">
        <f t="shared" si="0"/>
        <v>93.2</v>
      </c>
      <c r="F18" s="7"/>
      <c r="G18" s="7">
        <f t="shared" si="1"/>
        <v>93.2</v>
      </c>
    </row>
    <row r="19" spans="1:7">
      <c r="A19" s="7" t="s">
        <v>10</v>
      </c>
      <c r="B19" s="7" t="str">
        <f>"223410030802"</f>
        <v>223410030802</v>
      </c>
      <c r="C19" s="7">
        <v>91</v>
      </c>
      <c r="D19" s="7">
        <v>96</v>
      </c>
      <c r="E19" s="7">
        <f t="shared" si="0"/>
        <v>93</v>
      </c>
      <c r="F19" s="7"/>
      <c r="G19" s="7">
        <f t="shared" si="1"/>
        <v>93</v>
      </c>
    </row>
    <row r="20" spans="1:7">
      <c r="A20" s="7" t="s">
        <v>10</v>
      </c>
      <c r="B20" s="7" t="str">
        <f>"223410030711"</f>
        <v>223410030711</v>
      </c>
      <c r="C20" s="7">
        <v>86</v>
      </c>
      <c r="D20" s="7">
        <v>97</v>
      </c>
      <c r="E20" s="7">
        <f t="shared" si="0"/>
        <v>90.4</v>
      </c>
      <c r="F20" s="7"/>
      <c r="G20" s="7">
        <f t="shared" si="1"/>
        <v>90.4</v>
      </c>
    </row>
    <row r="21" spans="1:7">
      <c r="A21" s="7" t="s">
        <v>10</v>
      </c>
      <c r="B21" s="7" t="str">
        <f>"223410030718"</f>
        <v>223410030718</v>
      </c>
      <c r="C21" s="7">
        <v>82</v>
      </c>
      <c r="D21" s="7">
        <v>98</v>
      </c>
      <c r="E21" s="7">
        <f t="shared" si="0"/>
        <v>88.4</v>
      </c>
      <c r="F21" s="7"/>
      <c r="G21" s="7">
        <f t="shared" si="1"/>
        <v>88.4</v>
      </c>
    </row>
    <row r="22" spans="1:7">
      <c r="A22" s="7" t="s">
        <v>10</v>
      </c>
      <c r="B22" s="7" t="str">
        <f>"223410030709"</f>
        <v>223410030709</v>
      </c>
      <c r="C22" s="7">
        <v>82</v>
      </c>
      <c r="D22" s="7">
        <v>94</v>
      </c>
      <c r="E22" s="7">
        <f t="shared" si="0"/>
        <v>86.8</v>
      </c>
      <c r="F22" s="7"/>
      <c r="G22" s="7">
        <f t="shared" si="1"/>
        <v>86.8</v>
      </c>
    </row>
    <row r="23" spans="1:7">
      <c r="A23" s="7" t="s">
        <v>10</v>
      </c>
      <c r="B23" s="7" t="str">
        <f>"223410030707"</f>
        <v>223410030707</v>
      </c>
      <c r="C23" s="7">
        <v>80</v>
      </c>
      <c r="D23" s="7">
        <v>96</v>
      </c>
      <c r="E23" s="7">
        <f t="shared" si="0"/>
        <v>86.4</v>
      </c>
      <c r="F23" s="7"/>
      <c r="G23" s="7">
        <f t="shared" si="1"/>
        <v>86.4</v>
      </c>
    </row>
    <row r="24" spans="1:7">
      <c r="A24" s="7" t="s">
        <v>10</v>
      </c>
      <c r="B24" s="7" t="str">
        <f>"223410030715"</f>
        <v>223410030715</v>
      </c>
      <c r="C24" s="7">
        <v>81</v>
      </c>
      <c r="D24" s="7">
        <v>90</v>
      </c>
      <c r="E24" s="7">
        <f t="shared" si="0"/>
        <v>84.6</v>
      </c>
      <c r="F24" s="7"/>
      <c r="G24" s="7">
        <f t="shared" si="1"/>
        <v>84.6</v>
      </c>
    </row>
    <row r="25" spans="1:7">
      <c r="A25" s="7" t="s">
        <v>10</v>
      </c>
      <c r="B25" s="7" t="str">
        <f>"223410030820"</f>
        <v>223410030820</v>
      </c>
      <c r="C25" s="7">
        <v>79</v>
      </c>
      <c r="D25" s="7">
        <v>86</v>
      </c>
      <c r="E25" s="7">
        <f t="shared" si="0"/>
        <v>81.8</v>
      </c>
      <c r="F25" s="7"/>
      <c r="G25" s="7">
        <f t="shared" si="1"/>
        <v>81.8</v>
      </c>
    </row>
    <row r="26" spans="1:7">
      <c r="A26" s="7" t="s">
        <v>10</v>
      </c>
      <c r="B26" s="7" t="str">
        <f>"223410030701"</f>
        <v>223410030701</v>
      </c>
      <c r="C26" s="7">
        <v>80</v>
      </c>
      <c r="D26" s="7">
        <v>83</v>
      </c>
      <c r="E26" s="7">
        <f t="shared" si="0"/>
        <v>81.2</v>
      </c>
      <c r="F26" s="7"/>
      <c r="G26" s="7">
        <f t="shared" si="1"/>
        <v>81.2</v>
      </c>
    </row>
    <row r="27" spans="1:7">
      <c r="A27" s="7" t="s">
        <v>10</v>
      </c>
      <c r="B27" s="7" t="str">
        <f>"223410030821"</f>
        <v>223410030821</v>
      </c>
      <c r="C27" s="7">
        <v>78</v>
      </c>
      <c r="D27" s="7">
        <v>85</v>
      </c>
      <c r="E27" s="7">
        <f t="shared" si="0"/>
        <v>80.8</v>
      </c>
      <c r="F27" s="7"/>
      <c r="G27" s="7">
        <f t="shared" si="1"/>
        <v>80.8</v>
      </c>
    </row>
    <row r="28" spans="1:7">
      <c r="A28" s="7" t="s">
        <v>10</v>
      </c>
      <c r="B28" s="7" t="str">
        <f>"223410030710"</f>
        <v>223410030710</v>
      </c>
      <c r="C28" s="7">
        <v>75</v>
      </c>
      <c r="D28" s="7">
        <v>89</v>
      </c>
      <c r="E28" s="7">
        <f t="shared" si="0"/>
        <v>80.6</v>
      </c>
      <c r="F28" s="7"/>
      <c r="G28" s="7">
        <f t="shared" si="1"/>
        <v>80.6</v>
      </c>
    </row>
    <row r="29" spans="1:7">
      <c r="A29" s="7" t="s">
        <v>10</v>
      </c>
      <c r="B29" s="7" t="str">
        <f>"223410030713"</f>
        <v>223410030713</v>
      </c>
      <c r="C29" s="7">
        <v>69</v>
      </c>
      <c r="D29" s="7">
        <v>79</v>
      </c>
      <c r="E29" s="7">
        <f t="shared" si="0"/>
        <v>73</v>
      </c>
      <c r="F29" s="7"/>
      <c r="G29" s="7">
        <f t="shared" si="1"/>
        <v>73</v>
      </c>
    </row>
    <row r="30" spans="1:7">
      <c r="A30" s="7" t="s">
        <v>10</v>
      </c>
      <c r="B30" s="7" t="str">
        <f>"223410030815"</f>
        <v>223410030815</v>
      </c>
      <c r="C30" s="7">
        <v>71</v>
      </c>
      <c r="D30" s="7">
        <v>76</v>
      </c>
      <c r="E30" s="7">
        <f t="shared" si="0"/>
        <v>73</v>
      </c>
      <c r="F30" s="7"/>
      <c r="G30" s="7">
        <f t="shared" si="1"/>
        <v>73</v>
      </c>
    </row>
    <row r="31" spans="1:7">
      <c r="A31" s="7" t="s">
        <v>10</v>
      </c>
      <c r="B31" s="7" t="str">
        <f>"223410030705"</f>
        <v>223410030705</v>
      </c>
      <c r="C31" s="7">
        <v>72</v>
      </c>
      <c r="D31" s="7">
        <v>74</v>
      </c>
      <c r="E31" s="7">
        <f t="shared" si="0"/>
        <v>72.8</v>
      </c>
      <c r="F31" s="7"/>
      <c r="G31" s="7">
        <f t="shared" si="1"/>
        <v>72.8</v>
      </c>
    </row>
    <row r="32" spans="1:7">
      <c r="A32" s="7" t="s">
        <v>10</v>
      </c>
      <c r="B32" s="7" t="str">
        <f>"223410030723"</f>
        <v>223410030723</v>
      </c>
      <c r="C32" s="7">
        <v>68</v>
      </c>
      <c r="D32" s="7">
        <v>80</v>
      </c>
      <c r="E32" s="7">
        <f t="shared" si="0"/>
        <v>72.8</v>
      </c>
      <c r="F32" s="7"/>
      <c r="G32" s="7">
        <f t="shared" si="1"/>
        <v>72.8</v>
      </c>
    </row>
    <row r="33" spans="1:7">
      <c r="A33" s="7" t="s">
        <v>10</v>
      </c>
      <c r="B33" s="7" t="str">
        <f>"223410030803"</f>
        <v>223410030803</v>
      </c>
      <c r="C33" s="7">
        <v>68</v>
      </c>
      <c r="D33" s="7">
        <v>71</v>
      </c>
      <c r="E33" s="7">
        <f t="shared" si="0"/>
        <v>69.2</v>
      </c>
      <c r="F33" s="7"/>
      <c r="G33" s="7">
        <f t="shared" si="1"/>
        <v>69.2</v>
      </c>
    </row>
    <row r="34" spans="1:7">
      <c r="A34" s="7" t="s">
        <v>10</v>
      </c>
      <c r="B34" s="7" t="str">
        <f>"223410030816"</f>
        <v>223410030816</v>
      </c>
      <c r="C34" s="7">
        <v>66</v>
      </c>
      <c r="D34" s="7">
        <v>73</v>
      </c>
      <c r="E34" s="7">
        <f t="shared" si="0"/>
        <v>68.8</v>
      </c>
      <c r="F34" s="7"/>
      <c r="G34" s="7">
        <f t="shared" si="1"/>
        <v>68.8</v>
      </c>
    </row>
    <row r="35" spans="1:7">
      <c r="A35" s="7" t="s">
        <v>10</v>
      </c>
      <c r="B35" s="7" t="str">
        <f>"223410030614"</f>
        <v>223410030614</v>
      </c>
      <c r="C35" s="7">
        <v>67</v>
      </c>
      <c r="D35" s="7">
        <v>64</v>
      </c>
      <c r="E35" s="7">
        <f t="shared" si="0"/>
        <v>65.8</v>
      </c>
      <c r="F35" s="7">
        <v>2</v>
      </c>
      <c r="G35" s="7">
        <f t="shared" si="1"/>
        <v>67.8</v>
      </c>
    </row>
    <row r="36" spans="1:7">
      <c r="A36" s="7" t="s">
        <v>10</v>
      </c>
      <c r="B36" s="7" t="str">
        <f>"223410030608"</f>
        <v>223410030608</v>
      </c>
      <c r="C36" s="7">
        <v>68</v>
      </c>
      <c r="D36" s="7">
        <v>62</v>
      </c>
      <c r="E36" s="7">
        <f t="shared" si="0"/>
        <v>65.6</v>
      </c>
      <c r="F36" s="7"/>
      <c r="G36" s="7">
        <f t="shared" si="1"/>
        <v>65.6</v>
      </c>
    </row>
    <row r="37" spans="1:7">
      <c r="A37" s="7" t="s">
        <v>10</v>
      </c>
      <c r="B37" s="7" t="str">
        <f>"223410030804"</f>
        <v>223410030804</v>
      </c>
      <c r="C37" s="7">
        <v>70</v>
      </c>
      <c r="D37" s="7">
        <v>59</v>
      </c>
      <c r="E37" s="7">
        <f t="shared" si="0"/>
        <v>65.6</v>
      </c>
      <c r="F37" s="7"/>
      <c r="G37" s="7">
        <f t="shared" si="1"/>
        <v>65.6</v>
      </c>
    </row>
    <row r="38" spans="1:7">
      <c r="A38" s="7" t="s">
        <v>10</v>
      </c>
      <c r="B38" s="7" t="str">
        <f>"223410030619"</f>
        <v>223410030619</v>
      </c>
      <c r="C38" s="7">
        <v>64</v>
      </c>
      <c r="D38" s="7">
        <v>62</v>
      </c>
      <c r="E38" s="7">
        <f t="shared" si="0"/>
        <v>63.2</v>
      </c>
      <c r="F38" s="7"/>
      <c r="G38" s="7">
        <f t="shared" si="1"/>
        <v>63.2</v>
      </c>
    </row>
    <row r="39" spans="1:7">
      <c r="A39" s="7" t="s">
        <v>10</v>
      </c>
      <c r="B39" s="7" t="str">
        <f>"223410030807"</f>
        <v>223410030807</v>
      </c>
      <c r="C39" s="7">
        <v>61</v>
      </c>
      <c r="D39" s="7">
        <v>62</v>
      </c>
      <c r="E39" s="7">
        <f t="shared" si="0"/>
        <v>61.4</v>
      </c>
      <c r="F39" s="7"/>
      <c r="G39" s="7">
        <f t="shared" si="1"/>
        <v>61.4</v>
      </c>
    </row>
    <row r="40" spans="1:7">
      <c r="A40" s="7" t="s">
        <v>10</v>
      </c>
      <c r="B40" s="7" t="str">
        <f>"223410030611"</f>
        <v>223410030611</v>
      </c>
      <c r="C40" s="7">
        <v>62</v>
      </c>
      <c r="D40" s="7">
        <v>57</v>
      </c>
      <c r="E40" s="7">
        <f t="shared" si="0"/>
        <v>60</v>
      </c>
      <c r="F40" s="7"/>
      <c r="G40" s="7">
        <f t="shared" si="1"/>
        <v>60</v>
      </c>
    </row>
    <row r="41" spans="1:7">
      <c r="A41" s="7" t="s">
        <v>10</v>
      </c>
      <c r="B41" s="7" t="str">
        <f>"223410030813"</f>
        <v>223410030813</v>
      </c>
      <c r="C41" s="7">
        <v>58</v>
      </c>
      <c r="D41" s="7">
        <v>50</v>
      </c>
      <c r="E41" s="7">
        <f t="shared" si="0"/>
        <v>54.8</v>
      </c>
      <c r="F41" s="7"/>
      <c r="G41" s="7">
        <f t="shared" si="1"/>
        <v>54.8</v>
      </c>
    </row>
    <row r="42" spans="1:7">
      <c r="A42" s="7" t="s">
        <v>10</v>
      </c>
      <c r="B42" s="7" t="str">
        <f>"223410030828"</f>
        <v>223410030828</v>
      </c>
      <c r="C42" s="7">
        <v>69</v>
      </c>
      <c r="D42" s="7" t="s">
        <v>9</v>
      </c>
      <c r="E42" s="7">
        <f>C42*0.6</f>
        <v>41.4</v>
      </c>
      <c r="F42" s="7"/>
      <c r="G42" s="7">
        <f t="shared" si="1"/>
        <v>41.4</v>
      </c>
    </row>
    <row r="43" spans="1:7">
      <c r="A43" s="7" t="s">
        <v>11</v>
      </c>
      <c r="B43" s="7" t="str">
        <f>"223410032907"</f>
        <v>223410032907</v>
      </c>
      <c r="C43" s="7" t="s">
        <v>9</v>
      </c>
      <c r="D43" s="7" t="s">
        <v>9</v>
      </c>
      <c r="E43" s="7" t="s">
        <v>9</v>
      </c>
      <c r="F43" s="7"/>
      <c r="G43" s="7" t="s">
        <v>9</v>
      </c>
    </row>
    <row r="44" spans="1:7">
      <c r="A44" s="7" t="s">
        <v>11</v>
      </c>
      <c r="B44" s="7" t="str">
        <f>"223410032908"</f>
        <v>223410032908</v>
      </c>
      <c r="C44" s="7" t="s">
        <v>9</v>
      </c>
      <c r="D44" s="7" t="s">
        <v>9</v>
      </c>
      <c r="E44" s="7" t="s">
        <v>9</v>
      </c>
      <c r="F44" s="7"/>
      <c r="G44" s="7" t="s">
        <v>9</v>
      </c>
    </row>
    <row r="45" spans="1:7">
      <c r="A45" s="7" t="s">
        <v>11</v>
      </c>
      <c r="B45" s="7" t="str">
        <f>"223410033028"</f>
        <v>223410033028</v>
      </c>
      <c r="C45" s="7" t="s">
        <v>9</v>
      </c>
      <c r="D45" s="7" t="s">
        <v>9</v>
      </c>
      <c r="E45" s="7" t="s">
        <v>9</v>
      </c>
      <c r="F45" s="7"/>
      <c r="G45" s="7" t="s">
        <v>9</v>
      </c>
    </row>
    <row r="46" spans="1:7">
      <c r="A46" s="7" t="s">
        <v>11</v>
      </c>
      <c r="B46" s="7" t="str">
        <f>"223410033104"</f>
        <v>223410033104</v>
      </c>
      <c r="C46" s="7" t="s">
        <v>9</v>
      </c>
      <c r="D46" s="7" t="s">
        <v>9</v>
      </c>
      <c r="E46" s="7" t="s">
        <v>9</v>
      </c>
      <c r="F46" s="7"/>
      <c r="G46" s="7" t="s">
        <v>9</v>
      </c>
    </row>
    <row r="47" spans="1:7">
      <c r="A47" s="7" t="s">
        <v>11</v>
      </c>
      <c r="B47" s="7" t="str">
        <f>"223410033108"</f>
        <v>223410033108</v>
      </c>
      <c r="C47" s="7" t="s">
        <v>9</v>
      </c>
      <c r="D47" s="7" t="s">
        <v>9</v>
      </c>
      <c r="E47" s="7" t="s">
        <v>9</v>
      </c>
      <c r="F47" s="7"/>
      <c r="G47" s="7" t="s">
        <v>9</v>
      </c>
    </row>
    <row r="48" spans="1:7">
      <c r="A48" s="7" t="s">
        <v>11</v>
      </c>
      <c r="B48" s="7" t="str">
        <f>"223410033218"</f>
        <v>223410033218</v>
      </c>
      <c r="C48" s="7" t="s">
        <v>9</v>
      </c>
      <c r="D48" s="7" t="s">
        <v>9</v>
      </c>
      <c r="E48" s="7" t="s">
        <v>9</v>
      </c>
      <c r="F48" s="7"/>
      <c r="G48" s="7" t="s">
        <v>9</v>
      </c>
    </row>
    <row r="49" spans="1:7">
      <c r="A49" s="7" t="s">
        <v>11</v>
      </c>
      <c r="B49" s="7" t="str">
        <f>"223410032904"</f>
        <v>223410032904</v>
      </c>
      <c r="C49" s="7">
        <v>100</v>
      </c>
      <c r="D49" s="7">
        <v>106</v>
      </c>
      <c r="E49" s="7">
        <f t="shared" ref="E49:E74" si="2">C49*0.6+D49*0.4</f>
        <v>102.4</v>
      </c>
      <c r="F49" s="7"/>
      <c r="G49" s="7">
        <f t="shared" ref="G49:G76" si="3">E49+F49</f>
        <v>102.4</v>
      </c>
    </row>
    <row r="50" spans="1:7">
      <c r="A50" s="7" t="s">
        <v>11</v>
      </c>
      <c r="B50" s="7" t="str">
        <f>"223410032909"</f>
        <v>223410032909</v>
      </c>
      <c r="C50" s="7">
        <v>98</v>
      </c>
      <c r="D50" s="7">
        <v>95</v>
      </c>
      <c r="E50" s="7">
        <f t="shared" si="2"/>
        <v>96.8</v>
      </c>
      <c r="F50" s="7">
        <v>2</v>
      </c>
      <c r="G50" s="7">
        <f t="shared" si="3"/>
        <v>98.8</v>
      </c>
    </row>
    <row r="51" spans="1:7">
      <c r="A51" s="7" t="s">
        <v>11</v>
      </c>
      <c r="B51" s="7" t="str">
        <f>"223410032609"</f>
        <v>223410032609</v>
      </c>
      <c r="C51" s="7">
        <v>100.5</v>
      </c>
      <c r="D51" s="7">
        <v>94</v>
      </c>
      <c r="E51" s="7">
        <f t="shared" si="2"/>
        <v>97.9</v>
      </c>
      <c r="F51" s="7"/>
      <c r="G51" s="7">
        <f t="shared" si="3"/>
        <v>97.9</v>
      </c>
    </row>
    <row r="52" spans="1:7">
      <c r="A52" s="7" t="s">
        <v>11</v>
      </c>
      <c r="B52" s="7" t="str">
        <f>"223410032915"</f>
        <v>223410032915</v>
      </c>
      <c r="C52" s="7">
        <v>97.5</v>
      </c>
      <c r="D52" s="7">
        <v>94</v>
      </c>
      <c r="E52" s="7">
        <f t="shared" si="2"/>
        <v>96.1</v>
      </c>
      <c r="F52" s="7"/>
      <c r="G52" s="7">
        <f t="shared" si="3"/>
        <v>96.1</v>
      </c>
    </row>
    <row r="53" spans="1:7">
      <c r="A53" s="7" t="s">
        <v>11</v>
      </c>
      <c r="B53" s="7" t="str">
        <f>"223410032817"</f>
        <v>223410032817</v>
      </c>
      <c r="C53" s="7">
        <v>94</v>
      </c>
      <c r="D53" s="7">
        <v>97</v>
      </c>
      <c r="E53" s="7">
        <f t="shared" si="2"/>
        <v>95.2</v>
      </c>
      <c r="F53" s="7"/>
      <c r="G53" s="7">
        <f t="shared" si="3"/>
        <v>95.2</v>
      </c>
    </row>
    <row r="54" spans="1:7">
      <c r="A54" s="7" t="s">
        <v>11</v>
      </c>
      <c r="B54" s="7" t="str">
        <f>"223410033102"</f>
        <v>223410033102</v>
      </c>
      <c r="C54" s="7">
        <v>97.5</v>
      </c>
      <c r="D54" s="7">
        <v>88</v>
      </c>
      <c r="E54" s="7">
        <f t="shared" si="2"/>
        <v>93.7</v>
      </c>
      <c r="F54" s="7"/>
      <c r="G54" s="7">
        <f t="shared" si="3"/>
        <v>93.7</v>
      </c>
    </row>
    <row r="55" spans="1:7">
      <c r="A55" s="7" t="s">
        <v>11</v>
      </c>
      <c r="B55" s="7" t="str">
        <f>"223410032812"</f>
        <v>223410032812</v>
      </c>
      <c r="C55" s="7">
        <v>96</v>
      </c>
      <c r="D55" s="7">
        <v>82</v>
      </c>
      <c r="E55" s="7">
        <f t="shared" si="2"/>
        <v>90.4</v>
      </c>
      <c r="F55" s="7"/>
      <c r="G55" s="7">
        <f t="shared" si="3"/>
        <v>90.4</v>
      </c>
    </row>
    <row r="56" spans="1:7">
      <c r="A56" s="7" t="s">
        <v>11</v>
      </c>
      <c r="B56" s="7" t="str">
        <f>"223410032701"</f>
        <v>223410032701</v>
      </c>
      <c r="C56" s="7">
        <v>94</v>
      </c>
      <c r="D56" s="7">
        <v>80</v>
      </c>
      <c r="E56" s="7">
        <f t="shared" si="2"/>
        <v>88.4</v>
      </c>
      <c r="F56" s="7"/>
      <c r="G56" s="7">
        <f t="shared" si="3"/>
        <v>88.4</v>
      </c>
    </row>
    <row r="57" spans="1:7">
      <c r="A57" s="7" t="s">
        <v>11</v>
      </c>
      <c r="B57" s="7" t="str">
        <f>"223410032719"</f>
        <v>223410032719</v>
      </c>
      <c r="C57" s="7">
        <v>96</v>
      </c>
      <c r="D57" s="7">
        <v>76</v>
      </c>
      <c r="E57" s="7">
        <f t="shared" si="2"/>
        <v>88</v>
      </c>
      <c r="F57" s="7"/>
      <c r="G57" s="7">
        <f t="shared" si="3"/>
        <v>88</v>
      </c>
    </row>
    <row r="58" spans="1:7">
      <c r="A58" s="7" t="s">
        <v>11</v>
      </c>
      <c r="B58" s="7" t="str">
        <f>"223410033216"</f>
        <v>223410033216</v>
      </c>
      <c r="C58" s="7">
        <v>96</v>
      </c>
      <c r="D58" s="7">
        <v>76</v>
      </c>
      <c r="E58" s="7">
        <f t="shared" si="2"/>
        <v>88</v>
      </c>
      <c r="F58" s="7"/>
      <c r="G58" s="7">
        <f t="shared" si="3"/>
        <v>88</v>
      </c>
    </row>
    <row r="59" spans="1:7">
      <c r="A59" s="7" t="s">
        <v>11</v>
      </c>
      <c r="B59" s="7" t="str">
        <f>"223410032815"</f>
        <v>223410032815</v>
      </c>
      <c r="C59" s="7">
        <v>93</v>
      </c>
      <c r="D59" s="7">
        <v>80</v>
      </c>
      <c r="E59" s="7">
        <f t="shared" si="2"/>
        <v>87.8</v>
      </c>
      <c r="F59" s="7"/>
      <c r="G59" s="7">
        <f t="shared" si="3"/>
        <v>87.8</v>
      </c>
    </row>
    <row r="60" spans="1:7">
      <c r="A60" s="7" t="s">
        <v>11</v>
      </c>
      <c r="B60" s="7" t="str">
        <f>"223410032622"</f>
        <v>223410032622</v>
      </c>
      <c r="C60" s="7">
        <v>84.5</v>
      </c>
      <c r="D60" s="7">
        <v>92</v>
      </c>
      <c r="E60" s="7">
        <f t="shared" si="2"/>
        <v>87.5</v>
      </c>
      <c r="F60" s="7"/>
      <c r="G60" s="7">
        <f t="shared" si="3"/>
        <v>87.5</v>
      </c>
    </row>
    <row r="61" spans="1:7">
      <c r="A61" s="7" t="s">
        <v>11</v>
      </c>
      <c r="B61" s="7" t="str">
        <f>"223410033213"</f>
        <v>223410033213</v>
      </c>
      <c r="C61" s="7">
        <v>93</v>
      </c>
      <c r="D61" s="7">
        <v>78</v>
      </c>
      <c r="E61" s="7">
        <f t="shared" si="2"/>
        <v>87</v>
      </c>
      <c r="F61" s="7"/>
      <c r="G61" s="7">
        <f t="shared" si="3"/>
        <v>87</v>
      </c>
    </row>
    <row r="62" spans="1:7">
      <c r="A62" s="7" t="s">
        <v>11</v>
      </c>
      <c r="B62" s="7" t="str">
        <f>"223410032829"</f>
        <v>223410032829</v>
      </c>
      <c r="C62" s="7">
        <v>92</v>
      </c>
      <c r="D62" s="7">
        <v>76</v>
      </c>
      <c r="E62" s="7">
        <f t="shared" si="2"/>
        <v>85.6</v>
      </c>
      <c r="F62" s="7"/>
      <c r="G62" s="7">
        <f t="shared" si="3"/>
        <v>85.6</v>
      </c>
    </row>
    <row r="63" spans="1:7">
      <c r="A63" s="7" t="s">
        <v>11</v>
      </c>
      <c r="B63" s="7" t="str">
        <f>"223410033112"</f>
        <v>223410033112</v>
      </c>
      <c r="C63" s="7">
        <v>91.5</v>
      </c>
      <c r="D63" s="7">
        <v>75</v>
      </c>
      <c r="E63" s="7">
        <f t="shared" si="2"/>
        <v>84.9</v>
      </c>
      <c r="F63" s="7"/>
      <c r="G63" s="7">
        <f t="shared" si="3"/>
        <v>84.9</v>
      </c>
    </row>
    <row r="64" spans="1:7">
      <c r="A64" s="7" t="s">
        <v>11</v>
      </c>
      <c r="B64" s="7" t="str">
        <f>"223410032717"</f>
        <v>223410032717</v>
      </c>
      <c r="C64" s="7">
        <v>89.5</v>
      </c>
      <c r="D64" s="7">
        <v>76</v>
      </c>
      <c r="E64" s="7">
        <f t="shared" si="2"/>
        <v>84.1</v>
      </c>
      <c r="F64" s="7"/>
      <c r="G64" s="7">
        <f t="shared" si="3"/>
        <v>84.1</v>
      </c>
    </row>
    <row r="65" spans="1:7">
      <c r="A65" s="7" t="s">
        <v>11</v>
      </c>
      <c r="B65" s="7" t="str">
        <f>"223410032628"</f>
        <v>223410032628</v>
      </c>
      <c r="C65" s="7">
        <v>95.5</v>
      </c>
      <c r="D65" s="7">
        <v>63</v>
      </c>
      <c r="E65" s="7">
        <f t="shared" si="2"/>
        <v>82.5</v>
      </c>
      <c r="F65" s="7"/>
      <c r="G65" s="7">
        <f t="shared" si="3"/>
        <v>82.5</v>
      </c>
    </row>
    <row r="66" spans="1:7">
      <c r="A66" s="7" t="s">
        <v>11</v>
      </c>
      <c r="B66" s="7" t="str">
        <f>"223410033001"</f>
        <v>223410033001</v>
      </c>
      <c r="C66" s="7">
        <v>89</v>
      </c>
      <c r="D66" s="7">
        <v>70</v>
      </c>
      <c r="E66" s="7">
        <f t="shared" si="2"/>
        <v>81.4</v>
      </c>
      <c r="F66" s="7"/>
      <c r="G66" s="7">
        <f t="shared" si="3"/>
        <v>81.4</v>
      </c>
    </row>
    <row r="67" spans="1:7">
      <c r="A67" s="7" t="s">
        <v>11</v>
      </c>
      <c r="B67" s="7" t="str">
        <f>"223410032807"</f>
        <v>223410032807</v>
      </c>
      <c r="C67" s="7">
        <v>83.5</v>
      </c>
      <c r="D67" s="7">
        <v>78</v>
      </c>
      <c r="E67" s="7">
        <f t="shared" si="2"/>
        <v>81.3</v>
      </c>
      <c r="F67" s="7"/>
      <c r="G67" s="7">
        <f t="shared" si="3"/>
        <v>81.3</v>
      </c>
    </row>
    <row r="68" spans="1:7">
      <c r="A68" s="7" t="s">
        <v>11</v>
      </c>
      <c r="B68" s="7" t="str">
        <f>"223410033013"</f>
        <v>223410033013</v>
      </c>
      <c r="C68" s="7">
        <v>89</v>
      </c>
      <c r="D68" s="7">
        <v>66</v>
      </c>
      <c r="E68" s="7">
        <f t="shared" si="2"/>
        <v>79.8</v>
      </c>
      <c r="F68" s="7"/>
      <c r="G68" s="7">
        <f t="shared" si="3"/>
        <v>79.8</v>
      </c>
    </row>
    <row r="69" spans="1:7">
      <c r="A69" s="7" t="s">
        <v>11</v>
      </c>
      <c r="B69" s="7" t="str">
        <f>"223410033015"</f>
        <v>223410033015</v>
      </c>
      <c r="C69" s="7">
        <v>91.5</v>
      </c>
      <c r="D69" s="7">
        <v>61</v>
      </c>
      <c r="E69" s="7">
        <f t="shared" si="2"/>
        <v>79.3</v>
      </c>
      <c r="F69" s="7"/>
      <c r="G69" s="7">
        <f t="shared" si="3"/>
        <v>79.3</v>
      </c>
    </row>
    <row r="70" spans="1:7">
      <c r="A70" s="7" t="s">
        <v>11</v>
      </c>
      <c r="B70" s="7" t="str">
        <f>"223410032913"</f>
        <v>223410032913</v>
      </c>
      <c r="C70" s="7">
        <v>79.5</v>
      </c>
      <c r="D70" s="7">
        <v>77</v>
      </c>
      <c r="E70" s="7">
        <f t="shared" si="2"/>
        <v>78.5</v>
      </c>
      <c r="F70" s="7"/>
      <c r="G70" s="7">
        <f t="shared" si="3"/>
        <v>78.5</v>
      </c>
    </row>
    <row r="71" spans="1:7">
      <c r="A71" s="7" t="s">
        <v>11</v>
      </c>
      <c r="B71" s="7" t="str">
        <f>"223410033130"</f>
        <v>223410033130</v>
      </c>
      <c r="C71" s="7">
        <v>82</v>
      </c>
      <c r="D71" s="7">
        <v>69</v>
      </c>
      <c r="E71" s="7">
        <f t="shared" si="2"/>
        <v>76.8</v>
      </c>
      <c r="F71" s="7"/>
      <c r="G71" s="7">
        <f t="shared" si="3"/>
        <v>76.8</v>
      </c>
    </row>
    <row r="72" spans="1:7">
      <c r="A72" s="7" t="s">
        <v>11</v>
      </c>
      <c r="B72" s="7" t="str">
        <f>"223410033111"</f>
        <v>223410033111</v>
      </c>
      <c r="C72" s="7">
        <v>81.5</v>
      </c>
      <c r="D72" s="7">
        <v>61</v>
      </c>
      <c r="E72" s="7">
        <f t="shared" si="2"/>
        <v>73.3</v>
      </c>
      <c r="F72" s="7"/>
      <c r="G72" s="7">
        <f t="shared" si="3"/>
        <v>73.3</v>
      </c>
    </row>
    <row r="73" spans="1:7">
      <c r="A73" s="7" t="s">
        <v>11</v>
      </c>
      <c r="B73" s="7" t="str">
        <f>"223410032601"</f>
        <v>223410032601</v>
      </c>
      <c r="C73" s="7">
        <v>77.5</v>
      </c>
      <c r="D73" s="7">
        <v>58</v>
      </c>
      <c r="E73" s="7">
        <f t="shared" si="2"/>
        <v>69.7</v>
      </c>
      <c r="F73" s="7"/>
      <c r="G73" s="7">
        <f t="shared" si="3"/>
        <v>69.7</v>
      </c>
    </row>
    <row r="74" spans="1:7">
      <c r="A74" s="7" t="s">
        <v>11</v>
      </c>
      <c r="B74" s="7" t="str">
        <f>"223410033125"</f>
        <v>223410033125</v>
      </c>
      <c r="C74" s="7">
        <v>68.5</v>
      </c>
      <c r="D74" s="7">
        <v>70</v>
      </c>
      <c r="E74" s="7">
        <f t="shared" si="2"/>
        <v>69.1</v>
      </c>
      <c r="F74" s="7"/>
      <c r="G74" s="7">
        <f t="shared" si="3"/>
        <v>69.1</v>
      </c>
    </row>
    <row r="75" spans="1:7">
      <c r="A75" s="7" t="s">
        <v>11</v>
      </c>
      <c r="B75" s="7" t="str">
        <f>"223410033214"</f>
        <v>223410033214</v>
      </c>
      <c r="C75" s="7">
        <v>79</v>
      </c>
      <c r="D75" s="7" t="s">
        <v>9</v>
      </c>
      <c r="E75" s="7">
        <f>C75*0.6</f>
        <v>47.4</v>
      </c>
      <c r="F75" s="7"/>
      <c r="G75" s="7">
        <f t="shared" si="3"/>
        <v>47.4</v>
      </c>
    </row>
    <row r="76" spans="1:7">
      <c r="A76" s="7" t="s">
        <v>11</v>
      </c>
      <c r="B76" s="7" t="str">
        <f>"223410033010"</f>
        <v>223410033010</v>
      </c>
      <c r="C76" s="7">
        <v>39.5</v>
      </c>
      <c r="D76" s="7" t="s">
        <v>9</v>
      </c>
      <c r="E76" s="7">
        <f>C76*0.6</f>
        <v>23.7</v>
      </c>
      <c r="F76" s="7"/>
      <c r="G76" s="7">
        <f t="shared" si="3"/>
        <v>23.7</v>
      </c>
    </row>
    <row r="77" spans="1:7">
      <c r="A77" s="7" t="s">
        <v>12</v>
      </c>
      <c r="B77" s="7" t="str">
        <f>"223410030908"</f>
        <v>223410030908</v>
      </c>
      <c r="C77" s="7" t="s">
        <v>9</v>
      </c>
      <c r="D77" s="7" t="s">
        <v>9</v>
      </c>
      <c r="E77" s="7" t="s">
        <v>9</v>
      </c>
      <c r="F77" s="7"/>
      <c r="G77" s="7" t="s">
        <v>9</v>
      </c>
    </row>
    <row r="78" spans="1:7">
      <c r="A78" s="7" t="s">
        <v>12</v>
      </c>
      <c r="B78" s="7" t="str">
        <f>"223410030914"</f>
        <v>223410030914</v>
      </c>
      <c r="C78" s="7" t="s">
        <v>9</v>
      </c>
      <c r="D78" s="7" t="s">
        <v>9</v>
      </c>
      <c r="E78" s="7" t="s">
        <v>9</v>
      </c>
      <c r="F78" s="7"/>
      <c r="G78" s="7" t="s">
        <v>9</v>
      </c>
    </row>
    <row r="79" spans="1:7">
      <c r="A79" s="7" t="s">
        <v>12</v>
      </c>
      <c r="B79" s="7" t="str">
        <f>"223410031009"</f>
        <v>223410031009</v>
      </c>
      <c r="C79" s="7">
        <v>109</v>
      </c>
      <c r="D79" s="7">
        <v>84</v>
      </c>
      <c r="E79" s="7">
        <f t="shared" ref="E67:E130" si="4">C79*0.6+D79*0.4</f>
        <v>99</v>
      </c>
      <c r="F79" s="7"/>
      <c r="G79" s="7">
        <f t="shared" ref="G70:G133" si="5">E79+F79</f>
        <v>99</v>
      </c>
    </row>
    <row r="80" spans="1:7">
      <c r="A80" s="7" t="s">
        <v>12</v>
      </c>
      <c r="B80" s="7" t="str">
        <f>"223410030911"</f>
        <v>223410030911</v>
      </c>
      <c r="C80" s="7">
        <v>106</v>
      </c>
      <c r="D80" s="7">
        <v>81</v>
      </c>
      <c r="E80" s="7">
        <f t="shared" si="4"/>
        <v>96</v>
      </c>
      <c r="F80" s="7"/>
      <c r="G80" s="7">
        <f t="shared" si="5"/>
        <v>96</v>
      </c>
    </row>
    <row r="81" spans="1:7">
      <c r="A81" s="7" t="s">
        <v>12</v>
      </c>
      <c r="B81" s="7" t="str">
        <f>"223410031004"</f>
        <v>223410031004</v>
      </c>
      <c r="C81" s="7">
        <v>108</v>
      </c>
      <c r="D81" s="7">
        <v>66</v>
      </c>
      <c r="E81" s="7">
        <f t="shared" si="4"/>
        <v>91.2</v>
      </c>
      <c r="F81" s="7"/>
      <c r="G81" s="7">
        <f t="shared" si="5"/>
        <v>91.2</v>
      </c>
    </row>
    <row r="82" spans="1:7">
      <c r="A82" s="7" t="s">
        <v>12</v>
      </c>
      <c r="B82" s="7" t="str">
        <f>"223410031003"</f>
        <v>223410031003</v>
      </c>
      <c r="C82" s="7">
        <v>107</v>
      </c>
      <c r="D82" s="7">
        <v>67</v>
      </c>
      <c r="E82" s="7">
        <f t="shared" si="4"/>
        <v>91</v>
      </c>
      <c r="F82" s="7"/>
      <c r="G82" s="7">
        <f t="shared" si="5"/>
        <v>91</v>
      </c>
    </row>
    <row r="83" spans="1:7">
      <c r="A83" s="7" t="s">
        <v>12</v>
      </c>
      <c r="B83" s="7" t="str">
        <f>"223410030923"</f>
        <v>223410030923</v>
      </c>
      <c r="C83" s="7">
        <v>96</v>
      </c>
      <c r="D83" s="7">
        <v>77</v>
      </c>
      <c r="E83" s="7">
        <f t="shared" si="4"/>
        <v>88.4</v>
      </c>
      <c r="F83" s="7"/>
      <c r="G83" s="7">
        <f t="shared" si="5"/>
        <v>88.4</v>
      </c>
    </row>
    <row r="84" spans="1:7">
      <c r="A84" s="7" t="s">
        <v>12</v>
      </c>
      <c r="B84" s="7" t="str">
        <f>"223410030903"</f>
        <v>223410030903</v>
      </c>
      <c r="C84" s="7">
        <v>90</v>
      </c>
      <c r="D84" s="7">
        <v>76</v>
      </c>
      <c r="E84" s="7">
        <f t="shared" si="4"/>
        <v>84.4</v>
      </c>
      <c r="F84" s="7"/>
      <c r="G84" s="7">
        <f t="shared" si="5"/>
        <v>84.4</v>
      </c>
    </row>
    <row r="85" spans="1:7">
      <c r="A85" s="7" t="s">
        <v>12</v>
      </c>
      <c r="B85" s="7" t="str">
        <f>"223410030907"</f>
        <v>223410030907</v>
      </c>
      <c r="C85" s="7">
        <v>96</v>
      </c>
      <c r="D85" s="7">
        <v>63</v>
      </c>
      <c r="E85" s="7">
        <f t="shared" si="4"/>
        <v>82.8</v>
      </c>
      <c r="F85" s="7"/>
      <c r="G85" s="7">
        <f t="shared" si="5"/>
        <v>82.8</v>
      </c>
    </row>
    <row r="86" spans="1:7">
      <c r="A86" s="7" t="s">
        <v>12</v>
      </c>
      <c r="B86" s="7" t="str">
        <f>"223410031005"</f>
        <v>223410031005</v>
      </c>
      <c r="C86" s="7">
        <v>93</v>
      </c>
      <c r="D86" s="7">
        <v>61</v>
      </c>
      <c r="E86" s="7">
        <f t="shared" si="4"/>
        <v>80.2</v>
      </c>
      <c r="F86" s="7"/>
      <c r="G86" s="7">
        <f t="shared" si="5"/>
        <v>80.2</v>
      </c>
    </row>
    <row r="87" spans="1:7">
      <c r="A87" s="7" t="s">
        <v>13</v>
      </c>
      <c r="B87" s="7" t="str">
        <f>"223410030124"</f>
        <v>223410030124</v>
      </c>
      <c r="C87" s="7" t="s">
        <v>9</v>
      </c>
      <c r="D87" s="7" t="s">
        <v>9</v>
      </c>
      <c r="E87" s="7" t="s">
        <v>9</v>
      </c>
      <c r="F87" s="7"/>
      <c r="G87" s="7" t="s">
        <v>9</v>
      </c>
    </row>
    <row r="88" spans="1:7">
      <c r="A88" s="7" t="s">
        <v>13</v>
      </c>
      <c r="B88" s="7" t="str">
        <f>"223410030128"</f>
        <v>223410030128</v>
      </c>
      <c r="C88" s="7" t="s">
        <v>9</v>
      </c>
      <c r="D88" s="7" t="s">
        <v>9</v>
      </c>
      <c r="E88" s="7" t="s">
        <v>9</v>
      </c>
      <c r="F88" s="7"/>
      <c r="G88" s="7" t="s">
        <v>9</v>
      </c>
    </row>
    <row r="89" spans="1:7">
      <c r="A89" s="7" t="s">
        <v>13</v>
      </c>
      <c r="B89" s="7" t="str">
        <f>"223410030211"</f>
        <v>223410030211</v>
      </c>
      <c r="C89" s="7" t="s">
        <v>9</v>
      </c>
      <c r="D89" s="7" t="s">
        <v>9</v>
      </c>
      <c r="E89" s="7" t="s">
        <v>9</v>
      </c>
      <c r="F89" s="7"/>
      <c r="G89" s="7" t="s">
        <v>9</v>
      </c>
    </row>
    <row r="90" spans="1:7">
      <c r="A90" s="7" t="s">
        <v>13</v>
      </c>
      <c r="B90" s="7" t="str">
        <f>"223410030308"</f>
        <v>223410030308</v>
      </c>
      <c r="C90" s="7" t="s">
        <v>9</v>
      </c>
      <c r="D90" s="7" t="s">
        <v>9</v>
      </c>
      <c r="E90" s="7" t="s">
        <v>9</v>
      </c>
      <c r="F90" s="7"/>
      <c r="G90" s="7" t="s">
        <v>9</v>
      </c>
    </row>
    <row r="91" spans="1:7">
      <c r="A91" s="7" t="s">
        <v>13</v>
      </c>
      <c r="B91" s="7" t="str">
        <f>"223410030322"</f>
        <v>223410030322</v>
      </c>
      <c r="C91" s="7" t="s">
        <v>9</v>
      </c>
      <c r="D91" s="7" t="s">
        <v>9</v>
      </c>
      <c r="E91" s="7" t="s">
        <v>9</v>
      </c>
      <c r="F91" s="7"/>
      <c r="G91" s="7" t="s">
        <v>9</v>
      </c>
    </row>
    <row r="92" spans="1:7">
      <c r="A92" s="7" t="s">
        <v>13</v>
      </c>
      <c r="B92" s="7" t="str">
        <f>"223410030115"</f>
        <v>223410030115</v>
      </c>
      <c r="C92" s="7">
        <v>88</v>
      </c>
      <c r="D92" s="7">
        <v>74</v>
      </c>
      <c r="E92" s="7">
        <f t="shared" si="4"/>
        <v>82.4</v>
      </c>
      <c r="F92" s="7"/>
      <c r="G92" s="7">
        <f t="shared" si="5"/>
        <v>82.4</v>
      </c>
    </row>
    <row r="93" spans="1:7">
      <c r="A93" s="7" t="s">
        <v>13</v>
      </c>
      <c r="B93" s="7" t="str">
        <f>"223410030423"</f>
        <v>223410030423</v>
      </c>
      <c r="C93" s="7">
        <v>83</v>
      </c>
      <c r="D93" s="7">
        <v>77</v>
      </c>
      <c r="E93" s="7">
        <f t="shared" si="4"/>
        <v>80.6</v>
      </c>
      <c r="F93" s="7"/>
      <c r="G93" s="7">
        <f t="shared" si="5"/>
        <v>80.6</v>
      </c>
    </row>
    <row r="94" spans="1:7">
      <c r="A94" s="7" t="s">
        <v>13</v>
      </c>
      <c r="B94" s="7" t="str">
        <f>"223410030315"</f>
        <v>223410030315</v>
      </c>
      <c r="C94" s="7">
        <v>78</v>
      </c>
      <c r="D94" s="7">
        <v>84</v>
      </c>
      <c r="E94" s="7">
        <f t="shared" si="4"/>
        <v>80.4</v>
      </c>
      <c r="F94" s="7"/>
      <c r="G94" s="7">
        <f t="shared" si="5"/>
        <v>80.4</v>
      </c>
    </row>
    <row r="95" spans="1:7">
      <c r="A95" s="7" t="s">
        <v>13</v>
      </c>
      <c r="B95" s="7" t="str">
        <f>"223410030502"</f>
        <v>223410030502</v>
      </c>
      <c r="C95" s="7">
        <v>79</v>
      </c>
      <c r="D95" s="7">
        <v>81</v>
      </c>
      <c r="E95" s="7">
        <f t="shared" si="4"/>
        <v>79.8</v>
      </c>
      <c r="F95" s="7"/>
      <c r="G95" s="7">
        <f t="shared" si="5"/>
        <v>79.8</v>
      </c>
    </row>
    <row r="96" spans="1:7">
      <c r="A96" s="7" t="s">
        <v>13</v>
      </c>
      <c r="B96" s="7" t="str">
        <f>"223410030409"</f>
        <v>223410030409</v>
      </c>
      <c r="C96" s="7">
        <v>79</v>
      </c>
      <c r="D96" s="7">
        <v>76</v>
      </c>
      <c r="E96" s="7">
        <f t="shared" si="4"/>
        <v>77.8</v>
      </c>
      <c r="F96" s="7"/>
      <c r="G96" s="7">
        <f t="shared" si="5"/>
        <v>77.8</v>
      </c>
    </row>
    <row r="97" spans="1:7">
      <c r="A97" s="7" t="s">
        <v>13</v>
      </c>
      <c r="B97" s="7" t="str">
        <f>"223410030205"</f>
        <v>223410030205</v>
      </c>
      <c r="C97" s="7">
        <v>76</v>
      </c>
      <c r="D97" s="7">
        <v>76</v>
      </c>
      <c r="E97" s="7">
        <f t="shared" si="4"/>
        <v>76</v>
      </c>
      <c r="F97" s="7"/>
      <c r="G97" s="7">
        <f t="shared" si="5"/>
        <v>76</v>
      </c>
    </row>
    <row r="98" spans="1:7">
      <c r="A98" s="7" t="s">
        <v>13</v>
      </c>
      <c r="B98" s="7" t="str">
        <f>"223410030230"</f>
        <v>223410030230</v>
      </c>
      <c r="C98" s="7">
        <v>73</v>
      </c>
      <c r="D98" s="7">
        <v>76</v>
      </c>
      <c r="E98" s="7">
        <f t="shared" si="4"/>
        <v>74.2</v>
      </c>
      <c r="F98" s="7"/>
      <c r="G98" s="7">
        <f t="shared" si="5"/>
        <v>74.2</v>
      </c>
    </row>
    <row r="99" spans="1:7">
      <c r="A99" s="7" t="s">
        <v>13</v>
      </c>
      <c r="B99" s="7" t="str">
        <f>"223410030226"</f>
        <v>223410030226</v>
      </c>
      <c r="C99" s="7">
        <v>71</v>
      </c>
      <c r="D99" s="7">
        <v>76</v>
      </c>
      <c r="E99" s="7">
        <f t="shared" si="4"/>
        <v>73</v>
      </c>
      <c r="F99" s="7"/>
      <c r="G99" s="7">
        <f t="shared" si="5"/>
        <v>73</v>
      </c>
    </row>
    <row r="100" spans="1:7">
      <c r="A100" s="7" t="s">
        <v>13</v>
      </c>
      <c r="B100" s="7" t="str">
        <f>"223410030120"</f>
        <v>223410030120</v>
      </c>
      <c r="C100" s="7">
        <v>73</v>
      </c>
      <c r="D100" s="7">
        <v>68</v>
      </c>
      <c r="E100" s="7">
        <f t="shared" si="4"/>
        <v>71</v>
      </c>
      <c r="F100" s="7"/>
      <c r="G100" s="7">
        <f t="shared" si="5"/>
        <v>71</v>
      </c>
    </row>
    <row r="101" spans="1:7">
      <c r="A101" s="7" t="s">
        <v>13</v>
      </c>
      <c r="B101" s="7" t="str">
        <f>"223410030112"</f>
        <v>223410030112</v>
      </c>
      <c r="C101" s="7">
        <v>68</v>
      </c>
      <c r="D101" s="7">
        <v>66</v>
      </c>
      <c r="E101" s="7">
        <f t="shared" si="4"/>
        <v>67.2</v>
      </c>
      <c r="F101" s="7"/>
      <c r="G101" s="7">
        <f t="shared" si="5"/>
        <v>67.2</v>
      </c>
    </row>
    <row r="102" spans="1:7">
      <c r="A102" s="7" t="s">
        <v>14</v>
      </c>
      <c r="B102" s="7" t="str">
        <f>"223410032107"</f>
        <v>223410032107</v>
      </c>
      <c r="C102" s="7" t="s">
        <v>9</v>
      </c>
      <c r="D102" s="7" t="s">
        <v>9</v>
      </c>
      <c r="E102" s="7" t="s">
        <v>9</v>
      </c>
      <c r="F102" s="7"/>
      <c r="G102" s="7" t="s">
        <v>9</v>
      </c>
    </row>
    <row r="103" spans="1:7">
      <c r="A103" s="7" t="s">
        <v>14</v>
      </c>
      <c r="B103" s="7" t="str">
        <f>"223410032207"</f>
        <v>223410032207</v>
      </c>
      <c r="C103" s="7" t="s">
        <v>9</v>
      </c>
      <c r="D103" s="7" t="s">
        <v>9</v>
      </c>
      <c r="E103" s="7" t="s">
        <v>9</v>
      </c>
      <c r="F103" s="7"/>
      <c r="G103" s="7" t="s">
        <v>9</v>
      </c>
    </row>
    <row r="104" spans="1:7">
      <c r="A104" s="7" t="s">
        <v>14</v>
      </c>
      <c r="B104" s="7" t="str">
        <f>"223410032317"</f>
        <v>223410032317</v>
      </c>
      <c r="C104" s="7" t="s">
        <v>9</v>
      </c>
      <c r="D104" s="7" t="s">
        <v>9</v>
      </c>
      <c r="E104" s="7" t="s">
        <v>9</v>
      </c>
      <c r="F104" s="7"/>
      <c r="G104" s="7" t="s">
        <v>9</v>
      </c>
    </row>
    <row r="105" spans="1:7">
      <c r="A105" s="7" t="s">
        <v>14</v>
      </c>
      <c r="B105" s="7" t="str">
        <f>"223410032413"</f>
        <v>223410032413</v>
      </c>
      <c r="C105" s="7" t="s">
        <v>9</v>
      </c>
      <c r="D105" s="7" t="s">
        <v>9</v>
      </c>
      <c r="E105" s="7" t="s">
        <v>9</v>
      </c>
      <c r="F105" s="7"/>
      <c r="G105" s="7" t="s">
        <v>9</v>
      </c>
    </row>
    <row r="106" spans="1:7">
      <c r="A106" s="7" t="s">
        <v>14</v>
      </c>
      <c r="B106" s="7" t="str">
        <f>"223410032325"</f>
        <v>223410032325</v>
      </c>
      <c r="C106" s="7">
        <v>93</v>
      </c>
      <c r="D106" s="7">
        <v>71</v>
      </c>
      <c r="E106" s="7">
        <f t="shared" si="4"/>
        <v>84.2</v>
      </c>
      <c r="F106" s="7"/>
      <c r="G106" s="7">
        <f t="shared" si="5"/>
        <v>84.2</v>
      </c>
    </row>
    <row r="107" spans="1:7">
      <c r="A107" s="7" t="s">
        <v>14</v>
      </c>
      <c r="B107" s="7" t="str">
        <f>"223410032121"</f>
        <v>223410032121</v>
      </c>
      <c r="C107" s="7">
        <v>89</v>
      </c>
      <c r="D107" s="7">
        <v>72</v>
      </c>
      <c r="E107" s="7">
        <f t="shared" si="4"/>
        <v>82.2</v>
      </c>
      <c r="F107" s="7"/>
      <c r="G107" s="7">
        <f t="shared" si="5"/>
        <v>82.2</v>
      </c>
    </row>
    <row r="108" spans="1:7">
      <c r="A108" s="7" t="s">
        <v>14</v>
      </c>
      <c r="B108" s="7" t="str">
        <f>"223410032212"</f>
        <v>223410032212</v>
      </c>
      <c r="C108" s="7">
        <v>78</v>
      </c>
      <c r="D108" s="7">
        <v>87</v>
      </c>
      <c r="E108" s="7">
        <f t="shared" si="4"/>
        <v>81.6</v>
      </c>
      <c r="F108" s="7"/>
      <c r="G108" s="7">
        <f t="shared" si="5"/>
        <v>81.6</v>
      </c>
    </row>
    <row r="109" spans="1:7">
      <c r="A109" s="7" t="s">
        <v>14</v>
      </c>
      <c r="B109" s="7" t="str">
        <f>"223410032524"</f>
        <v>223410032524</v>
      </c>
      <c r="C109" s="7">
        <v>97</v>
      </c>
      <c r="D109" s="7">
        <v>58</v>
      </c>
      <c r="E109" s="7">
        <f t="shared" si="4"/>
        <v>81.4</v>
      </c>
      <c r="F109" s="7"/>
      <c r="G109" s="7">
        <f t="shared" si="5"/>
        <v>81.4</v>
      </c>
    </row>
    <row r="110" spans="1:7">
      <c r="A110" s="7" t="s">
        <v>14</v>
      </c>
      <c r="B110" s="7" t="str">
        <f>"223410032429"</f>
        <v>223410032429</v>
      </c>
      <c r="C110" s="7">
        <v>93</v>
      </c>
      <c r="D110" s="7">
        <v>59</v>
      </c>
      <c r="E110" s="7">
        <f t="shared" si="4"/>
        <v>79.4</v>
      </c>
      <c r="F110" s="7"/>
      <c r="G110" s="7">
        <f t="shared" si="5"/>
        <v>79.4</v>
      </c>
    </row>
    <row r="111" spans="1:7">
      <c r="A111" s="7" t="s">
        <v>14</v>
      </c>
      <c r="B111" s="7" t="str">
        <f>"223410032114"</f>
        <v>223410032114</v>
      </c>
      <c r="C111" s="7">
        <v>91</v>
      </c>
      <c r="D111" s="7">
        <v>61</v>
      </c>
      <c r="E111" s="7">
        <f t="shared" si="4"/>
        <v>79</v>
      </c>
      <c r="F111" s="7"/>
      <c r="G111" s="7">
        <f t="shared" si="5"/>
        <v>79</v>
      </c>
    </row>
    <row r="112" spans="1:7">
      <c r="A112" s="7" t="s">
        <v>14</v>
      </c>
      <c r="B112" s="7" t="str">
        <f>"223410032419"</f>
        <v>223410032419</v>
      </c>
      <c r="C112" s="7">
        <v>82</v>
      </c>
      <c r="D112" s="7">
        <v>74</v>
      </c>
      <c r="E112" s="7">
        <f t="shared" si="4"/>
        <v>78.8</v>
      </c>
      <c r="F112" s="7"/>
      <c r="G112" s="7">
        <f t="shared" si="5"/>
        <v>78.8</v>
      </c>
    </row>
    <row r="113" spans="1:7">
      <c r="A113" s="7" t="s">
        <v>14</v>
      </c>
      <c r="B113" s="7" t="str">
        <f>"223410032304"</f>
        <v>223410032304</v>
      </c>
      <c r="C113" s="7">
        <v>78</v>
      </c>
      <c r="D113" s="7">
        <v>67</v>
      </c>
      <c r="E113" s="7">
        <f t="shared" si="4"/>
        <v>73.6</v>
      </c>
      <c r="F113" s="7"/>
      <c r="G113" s="7">
        <f t="shared" si="5"/>
        <v>73.6</v>
      </c>
    </row>
    <row r="114" spans="1:7">
      <c r="A114" s="7" t="s">
        <v>14</v>
      </c>
      <c r="B114" s="7" t="str">
        <f>"223410032526"</f>
        <v>223410032526</v>
      </c>
      <c r="C114" s="7">
        <v>69</v>
      </c>
      <c r="D114" s="7">
        <v>80</v>
      </c>
      <c r="E114" s="7">
        <f t="shared" si="4"/>
        <v>73.4</v>
      </c>
      <c r="F114" s="7"/>
      <c r="G114" s="7">
        <f t="shared" si="5"/>
        <v>73.4</v>
      </c>
    </row>
    <row r="115" spans="1:7">
      <c r="A115" s="7" t="s">
        <v>14</v>
      </c>
      <c r="B115" s="7" t="str">
        <f>"223410032327"</f>
        <v>223410032327</v>
      </c>
      <c r="C115" s="7">
        <v>76</v>
      </c>
      <c r="D115" s="7">
        <v>64</v>
      </c>
      <c r="E115" s="7">
        <f t="shared" si="4"/>
        <v>71.2</v>
      </c>
      <c r="F115" s="7"/>
      <c r="G115" s="7">
        <f t="shared" si="5"/>
        <v>71.2</v>
      </c>
    </row>
    <row r="116" spans="1:7">
      <c r="A116" s="7" t="s">
        <v>14</v>
      </c>
      <c r="B116" s="7" t="str">
        <f>"223410032221"</f>
        <v>223410032221</v>
      </c>
      <c r="C116" s="7">
        <v>72</v>
      </c>
      <c r="D116" s="7">
        <v>66</v>
      </c>
      <c r="E116" s="7">
        <f t="shared" si="4"/>
        <v>69.6</v>
      </c>
      <c r="F116" s="7"/>
      <c r="G116" s="7">
        <f t="shared" si="5"/>
        <v>69.6</v>
      </c>
    </row>
    <row r="117" spans="1:7">
      <c r="A117" s="7" t="s">
        <v>14</v>
      </c>
      <c r="B117" s="7" t="str">
        <f>"223410032402"</f>
        <v>223410032402</v>
      </c>
      <c r="C117" s="7">
        <v>63</v>
      </c>
      <c r="D117" s="7">
        <v>79</v>
      </c>
      <c r="E117" s="7">
        <f t="shared" si="4"/>
        <v>69.4</v>
      </c>
      <c r="F117" s="7"/>
      <c r="G117" s="7">
        <f t="shared" si="5"/>
        <v>69.4</v>
      </c>
    </row>
    <row r="118" spans="1:7">
      <c r="A118" s="7" t="s">
        <v>14</v>
      </c>
      <c r="B118" s="7" t="str">
        <f>"223410032120"</f>
        <v>223410032120</v>
      </c>
      <c r="C118" s="7">
        <v>73</v>
      </c>
      <c r="D118" s="7">
        <v>60</v>
      </c>
      <c r="E118" s="7">
        <f t="shared" si="4"/>
        <v>67.8</v>
      </c>
      <c r="F118" s="7"/>
      <c r="G118" s="7">
        <f t="shared" si="5"/>
        <v>67.8</v>
      </c>
    </row>
    <row r="119" spans="1:7">
      <c r="A119" s="7" t="s">
        <v>15</v>
      </c>
      <c r="B119" s="7" t="str">
        <f>"223410031403"</f>
        <v>223410031403</v>
      </c>
      <c r="C119" s="7" t="s">
        <v>9</v>
      </c>
      <c r="D119" s="7" t="s">
        <v>9</v>
      </c>
      <c r="E119" s="7" t="s">
        <v>9</v>
      </c>
      <c r="F119" s="7"/>
      <c r="G119" s="7" t="s">
        <v>9</v>
      </c>
    </row>
    <row r="120" spans="1:7">
      <c r="A120" s="7" t="s">
        <v>15</v>
      </c>
      <c r="B120" s="7" t="str">
        <f>"223410031419"</f>
        <v>223410031419</v>
      </c>
      <c r="C120" s="7">
        <v>91</v>
      </c>
      <c r="D120" s="7">
        <v>77</v>
      </c>
      <c r="E120" s="7">
        <f t="shared" si="4"/>
        <v>85.4</v>
      </c>
      <c r="F120" s="7"/>
      <c r="G120" s="7">
        <f t="shared" si="5"/>
        <v>85.4</v>
      </c>
    </row>
    <row r="121" spans="1:7">
      <c r="A121" s="7" t="s">
        <v>15</v>
      </c>
      <c r="B121" s="7" t="str">
        <f>"223410031413"</f>
        <v>223410031413</v>
      </c>
      <c r="C121" s="7">
        <v>79</v>
      </c>
      <c r="D121" s="7">
        <v>82</v>
      </c>
      <c r="E121" s="7">
        <f t="shared" si="4"/>
        <v>80.2</v>
      </c>
      <c r="F121" s="7"/>
      <c r="G121" s="7">
        <f t="shared" si="5"/>
        <v>80.2</v>
      </c>
    </row>
    <row r="122" spans="1:7">
      <c r="A122" s="7" t="s">
        <v>15</v>
      </c>
      <c r="B122" s="7" t="str">
        <f>"223410031304"</f>
        <v>223410031304</v>
      </c>
      <c r="C122" s="7">
        <v>76</v>
      </c>
      <c r="D122" s="7">
        <v>79</v>
      </c>
      <c r="E122" s="7">
        <f t="shared" si="4"/>
        <v>77.2</v>
      </c>
      <c r="F122" s="7"/>
      <c r="G122" s="7">
        <f t="shared" si="5"/>
        <v>77.2</v>
      </c>
    </row>
    <row r="123" spans="1:7">
      <c r="A123" s="7" t="s">
        <v>16</v>
      </c>
      <c r="B123" s="7" t="str">
        <f>"223410032510"</f>
        <v>223410032510</v>
      </c>
      <c r="C123" s="7">
        <v>101</v>
      </c>
      <c r="D123" s="7">
        <v>103</v>
      </c>
      <c r="E123" s="7">
        <f t="shared" si="4"/>
        <v>101.8</v>
      </c>
      <c r="F123" s="7"/>
      <c r="G123" s="7">
        <f t="shared" si="5"/>
        <v>101.8</v>
      </c>
    </row>
    <row r="124" spans="1:7">
      <c r="A124" s="7" t="s">
        <v>16</v>
      </c>
      <c r="B124" s="7" t="str">
        <f>"223410032204"</f>
        <v>223410032204</v>
      </c>
      <c r="C124" s="7">
        <v>103</v>
      </c>
      <c r="D124" s="7">
        <v>91</v>
      </c>
      <c r="E124" s="7">
        <f t="shared" si="4"/>
        <v>98.2</v>
      </c>
      <c r="F124" s="7"/>
      <c r="G124" s="7">
        <f t="shared" si="5"/>
        <v>98.2</v>
      </c>
    </row>
    <row r="125" spans="1:7">
      <c r="A125" s="7" t="s">
        <v>16</v>
      </c>
      <c r="B125" s="7" t="str">
        <f>"223410032314"</f>
        <v>223410032314</v>
      </c>
      <c r="C125" s="7">
        <v>103</v>
      </c>
      <c r="D125" s="7">
        <v>90</v>
      </c>
      <c r="E125" s="7">
        <f t="shared" si="4"/>
        <v>97.8</v>
      </c>
      <c r="F125" s="7"/>
      <c r="G125" s="7">
        <f t="shared" si="5"/>
        <v>97.8</v>
      </c>
    </row>
    <row r="126" spans="1:7">
      <c r="A126" s="7" t="s">
        <v>16</v>
      </c>
      <c r="B126" s="7" t="str">
        <f>"223410032329"</f>
        <v>223410032329</v>
      </c>
      <c r="C126" s="7">
        <v>85</v>
      </c>
      <c r="D126" s="7">
        <v>93</v>
      </c>
      <c r="E126" s="7">
        <f t="shared" si="4"/>
        <v>88.2</v>
      </c>
      <c r="F126" s="7"/>
      <c r="G126" s="7">
        <f t="shared" si="5"/>
        <v>88.2</v>
      </c>
    </row>
    <row r="127" spans="1:7">
      <c r="A127" s="7" t="s">
        <v>16</v>
      </c>
      <c r="B127" s="7" t="str">
        <f>"223410032324"</f>
        <v>223410032324</v>
      </c>
      <c r="C127" s="7">
        <v>94</v>
      </c>
      <c r="D127" s="7">
        <v>78</v>
      </c>
      <c r="E127" s="7">
        <f t="shared" si="4"/>
        <v>87.6</v>
      </c>
      <c r="F127" s="7"/>
      <c r="G127" s="7">
        <f t="shared" si="5"/>
        <v>87.6</v>
      </c>
    </row>
    <row r="128" spans="1:7">
      <c r="A128" s="7" t="s">
        <v>16</v>
      </c>
      <c r="B128" s="7" t="str">
        <f>"223410032326"</f>
        <v>223410032326</v>
      </c>
      <c r="C128" s="7">
        <v>92</v>
      </c>
      <c r="D128" s="7">
        <v>80</v>
      </c>
      <c r="E128" s="7">
        <f t="shared" si="4"/>
        <v>87.2</v>
      </c>
      <c r="F128" s="7"/>
      <c r="G128" s="7">
        <f t="shared" si="5"/>
        <v>87.2</v>
      </c>
    </row>
    <row r="129" spans="1:7">
      <c r="A129" s="7" t="s">
        <v>16</v>
      </c>
      <c r="B129" s="7" t="str">
        <f>"223410032415"</f>
        <v>223410032415</v>
      </c>
      <c r="C129" s="7">
        <v>89</v>
      </c>
      <c r="D129" s="7">
        <v>82</v>
      </c>
      <c r="E129" s="7">
        <f t="shared" si="4"/>
        <v>86.2</v>
      </c>
      <c r="F129" s="7"/>
      <c r="G129" s="7">
        <f t="shared" si="5"/>
        <v>86.2</v>
      </c>
    </row>
    <row r="130" spans="1:7">
      <c r="A130" s="7" t="s">
        <v>16</v>
      </c>
      <c r="B130" s="7" t="str">
        <f>"223410032516"</f>
        <v>223410032516</v>
      </c>
      <c r="C130" s="7">
        <v>93</v>
      </c>
      <c r="D130" s="7">
        <v>66</v>
      </c>
      <c r="E130" s="7">
        <f t="shared" si="4"/>
        <v>82.2</v>
      </c>
      <c r="F130" s="7"/>
      <c r="G130" s="7">
        <f t="shared" si="5"/>
        <v>82.2</v>
      </c>
    </row>
    <row r="131" spans="1:7">
      <c r="A131" s="7" t="s">
        <v>16</v>
      </c>
      <c r="B131" s="7" t="str">
        <f>"223410032424"</f>
        <v>223410032424</v>
      </c>
      <c r="C131" s="7">
        <v>74</v>
      </c>
      <c r="D131" s="7">
        <v>87</v>
      </c>
      <c r="E131" s="7">
        <f t="shared" ref="E131:E194" si="6">C131*0.6+D131*0.4</f>
        <v>79.2</v>
      </c>
      <c r="F131" s="7"/>
      <c r="G131" s="7">
        <f t="shared" si="5"/>
        <v>79.2</v>
      </c>
    </row>
    <row r="132" spans="1:7">
      <c r="A132" s="7" t="s">
        <v>16</v>
      </c>
      <c r="B132" s="7" t="str">
        <f>"223410032404"</f>
        <v>223410032404</v>
      </c>
      <c r="C132" s="7">
        <v>69</v>
      </c>
      <c r="D132" s="7">
        <v>50</v>
      </c>
      <c r="E132" s="7">
        <f t="shared" si="6"/>
        <v>61.4</v>
      </c>
      <c r="F132" s="7"/>
      <c r="G132" s="7">
        <f t="shared" si="5"/>
        <v>61.4</v>
      </c>
    </row>
    <row r="133" spans="1:7">
      <c r="A133" s="7" t="s">
        <v>17</v>
      </c>
      <c r="B133" s="7" t="str">
        <f>"223410031925"</f>
        <v>223410031925</v>
      </c>
      <c r="C133" s="7" t="s">
        <v>9</v>
      </c>
      <c r="D133" s="7" t="s">
        <v>9</v>
      </c>
      <c r="E133" s="7" t="s">
        <v>9</v>
      </c>
      <c r="F133" s="7"/>
      <c r="G133" s="7" t="s">
        <v>9</v>
      </c>
    </row>
    <row r="134" spans="1:7">
      <c r="A134" s="7" t="s">
        <v>17</v>
      </c>
      <c r="B134" s="7" t="str">
        <f>"223410031920"</f>
        <v>223410031920</v>
      </c>
      <c r="C134" s="7">
        <v>100</v>
      </c>
      <c r="D134" s="7">
        <v>92</v>
      </c>
      <c r="E134" s="7">
        <f t="shared" si="6"/>
        <v>96.8</v>
      </c>
      <c r="F134" s="7"/>
      <c r="G134" s="7">
        <f t="shared" ref="G134:G197" si="7">E134+F134</f>
        <v>96.8</v>
      </c>
    </row>
    <row r="135" spans="1:7">
      <c r="A135" s="7" t="s">
        <v>17</v>
      </c>
      <c r="B135" s="7" t="str">
        <f>"223410031922"</f>
        <v>223410031922</v>
      </c>
      <c r="C135" s="7">
        <v>96.5</v>
      </c>
      <c r="D135" s="7">
        <v>94</v>
      </c>
      <c r="E135" s="7">
        <f t="shared" si="6"/>
        <v>95.5</v>
      </c>
      <c r="F135" s="7"/>
      <c r="G135" s="7">
        <f t="shared" si="7"/>
        <v>95.5</v>
      </c>
    </row>
    <row r="136" spans="1:7">
      <c r="A136" s="7" t="s">
        <v>17</v>
      </c>
      <c r="B136" s="7" t="str">
        <f>"223410031923"</f>
        <v>223410031923</v>
      </c>
      <c r="C136" s="7">
        <v>90.5</v>
      </c>
      <c r="D136" s="7">
        <v>95</v>
      </c>
      <c r="E136" s="7">
        <f t="shared" si="6"/>
        <v>92.3</v>
      </c>
      <c r="F136" s="7"/>
      <c r="G136" s="7">
        <f t="shared" si="7"/>
        <v>92.3</v>
      </c>
    </row>
    <row r="137" spans="1:7">
      <c r="A137" s="7" t="s">
        <v>17</v>
      </c>
      <c r="B137" s="7" t="str">
        <f>"223410031906"</f>
        <v>223410031906</v>
      </c>
      <c r="C137" s="7">
        <v>93.5</v>
      </c>
      <c r="D137" s="7">
        <v>89</v>
      </c>
      <c r="E137" s="7">
        <f t="shared" si="6"/>
        <v>91.7</v>
      </c>
      <c r="F137" s="7"/>
      <c r="G137" s="7">
        <f t="shared" si="7"/>
        <v>91.7</v>
      </c>
    </row>
    <row r="138" spans="1:7">
      <c r="A138" s="7" t="s">
        <v>17</v>
      </c>
      <c r="B138" s="7" t="str">
        <f>"223410031908"</f>
        <v>223410031908</v>
      </c>
      <c r="C138" s="7">
        <v>88.5</v>
      </c>
      <c r="D138" s="7">
        <v>84</v>
      </c>
      <c r="E138" s="7">
        <f t="shared" si="6"/>
        <v>86.7</v>
      </c>
      <c r="F138" s="7"/>
      <c r="G138" s="7">
        <f t="shared" si="7"/>
        <v>86.7</v>
      </c>
    </row>
    <row r="139" spans="1:7">
      <c r="A139" s="7" t="s">
        <v>17</v>
      </c>
      <c r="B139" s="7" t="str">
        <f>"223410031913"</f>
        <v>223410031913</v>
      </c>
      <c r="C139" s="7">
        <v>87.5</v>
      </c>
      <c r="D139" s="7">
        <v>81</v>
      </c>
      <c r="E139" s="7">
        <f t="shared" si="6"/>
        <v>84.9</v>
      </c>
      <c r="F139" s="7"/>
      <c r="G139" s="7">
        <f t="shared" si="7"/>
        <v>84.9</v>
      </c>
    </row>
    <row r="140" spans="1:7">
      <c r="A140" s="7" t="s">
        <v>17</v>
      </c>
      <c r="B140" s="7" t="str">
        <f>"223410031915"</f>
        <v>223410031915</v>
      </c>
      <c r="C140" s="7">
        <v>87.5</v>
      </c>
      <c r="D140" s="7">
        <v>78</v>
      </c>
      <c r="E140" s="7">
        <f t="shared" si="6"/>
        <v>83.7</v>
      </c>
      <c r="F140" s="7"/>
      <c r="G140" s="7">
        <f t="shared" si="7"/>
        <v>83.7</v>
      </c>
    </row>
    <row r="141" spans="1:7">
      <c r="A141" s="7" t="s">
        <v>17</v>
      </c>
      <c r="B141" s="7" t="str">
        <f>"223410031926"</f>
        <v>223410031926</v>
      </c>
      <c r="C141" s="7">
        <v>78</v>
      </c>
      <c r="D141" s="7">
        <v>68</v>
      </c>
      <c r="E141" s="7">
        <f t="shared" si="6"/>
        <v>74</v>
      </c>
      <c r="F141" s="7"/>
      <c r="G141" s="7">
        <f t="shared" si="7"/>
        <v>74</v>
      </c>
    </row>
    <row r="142" spans="1:7">
      <c r="A142" s="7" t="s">
        <v>18</v>
      </c>
      <c r="B142" s="7" t="str">
        <f>"223410032103"</f>
        <v>223410032103</v>
      </c>
      <c r="C142" s="7" t="s">
        <v>9</v>
      </c>
      <c r="D142" s="7" t="s">
        <v>9</v>
      </c>
      <c r="E142" s="7" t="s">
        <v>9</v>
      </c>
      <c r="F142" s="7"/>
      <c r="G142" s="7" t="s">
        <v>9</v>
      </c>
    </row>
    <row r="143" spans="1:7">
      <c r="A143" s="7" t="s">
        <v>18</v>
      </c>
      <c r="B143" s="7" t="str">
        <f>"223410032104"</f>
        <v>223410032104</v>
      </c>
      <c r="C143" s="7" t="s">
        <v>9</v>
      </c>
      <c r="D143" s="7" t="s">
        <v>9</v>
      </c>
      <c r="E143" s="7" t="s">
        <v>9</v>
      </c>
      <c r="F143" s="7"/>
      <c r="G143" s="7" t="s">
        <v>9</v>
      </c>
    </row>
    <row r="144" spans="1:7">
      <c r="A144" s="7" t="s">
        <v>18</v>
      </c>
      <c r="B144" s="7" t="str">
        <f>"223410032110"</f>
        <v>223410032110</v>
      </c>
      <c r="C144" s="7" t="s">
        <v>9</v>
      </c>
      <c r="D144" s="7" t="s">
        <v>9</v>
      </c>
      <c r="E144" s="7" t="s">
        <v>9</v>
      </c>
      <c r="F144" s="7"/>
      <c r="G144" s="7" t="s">
        <v>9</v>
      </c>
    </row>
    <row r="145" spans="1:7">
      <c r="A145" s="7" t="s">
        <v>18</v>
      </c>
      <c r="B145" s="7" t="str">
        <f>"223410032217"</f>
        <v>223410032217</v>
      </c>
      <c r="C145" s="7" t="s">
        <v>9</v>
      </c>
      <c r="D145" s="7" t="s">
        <v>9</v>
      </c>
      <c r="E145" s="7" t="s">
        <v>9</v>
      </c>
      <c r="F145" s="7"/>
      <c r="G145" s="7" t="s">
        <v>9</v>
      </c>
    </row>
    <row r="146" spans="1:7">
      <c r="A146" s="7" t="s">
        <v>18</v>
      </c>
      <c r="B146" s="7" t="str">
        <f>"223410032229"</f>
        <v>223410032229</v>
      </c>
      <c r="C146" s="7" t="s">
        <v>9</v>
      </c>
      <c r="D146" s="7" t="s">
        <v>9</v>
      </c>
      <c r="E146" s="7" t="s">
        <v>9</v>
      </c>
      <c r="F146" s="7"/>
      <c r="G146" s="7" t="s">
        <v>9</v>
      </c>
    </row>
    <row r="147" spans="1:7">
      <c r="A147" s="7" t="s">
        <v>18</v>
      </c>
      <c r="B147" s="7" t="str">
        <f>"223410032405"</f>
        <v>223410032405</v>
      </c>
      <c r="C147" s="7" t="s">
        <v>9</v>
      </c>
      <c r="D147" s="7" t="s">
        <v>9</v>
      </c>
      <c r="E147" s="7" t="s">
        <v>9</v>
      </c>
      <c r="F147" s="7"/>
      <c r="G147" s="7" t="s">
        <v>9</v>
      </c>
    </row>
    <row r="148" spans="1:7">
      <c r="A148" s="7" t="s">
        <v>18</v>
      </c>
      <c r="B148" s="7" t="str">
        <f>"223410032406"</f>
        <v>223410032406</v>
      </c>
      <c r="C148" s="7">
        <v>114</v>
      </c>
      <c r="D148" s="7">
        <v>93</v>
      </c>
      <c r="E148" s="7">
        <f t="shared" si="6"/>
        <v>105.6</v>
      </c>
      <c r="F148" s="7"/>
      <c r="G148" s="7">
        <f t="shared" si="7"/>
        <v>105.6</v>
      </c>
    </row>
    <row r="149" spans="1:7">
      <c r="A149" s="7" t="s">
        <v>18</v>
      </c>
      <c r="B149" s="7" t="str">
        <f>"223410032223"</f>
        <v>223410032223</v>
      </c>
      <c r="C149" s="7">
        <v>113</v>
      </c>
      <c r="D149" s="7">
        <v>93</v>
      </c>
      <c r="E149" s="7">
        <f t="shared" si="6"/>
        <v>105</v>
      </c>
      <c r="F149" s="7"/>
      <c r="G149" s="7">
        <f t="shared" si="7"/>
        <v>105</v>
      </c>
    </row>
    <row r="150" spans="1:7">
      <c r="A150" s="7" t="s">
        <v>18</v>
      </c>
      <c r="B150" s="7" t="str">
        <f>"223410032417"</f>
        <v>223410032417</v>
      </c>
      <c r="C150" s="7">
        <v>105</v>
      </c>
      <c r="D150" s="7">
        <v>93</v>
      </c>
      <c r="E150" s="7">
        <f t="shared" si="6"/>
        <v>100.2</v>
      </c>
      <c r="F150" s="7"/>
      <c r="G150" s="7">
        <f t="shared" si="7"/>
        <v>100.2</v>
      </c>
    </row>
    <row r="151" spans="1:7">
      <c r="A151" s="7" t="s">
        <v>18</v>
      </c>
      <c r="B151" s="7" t="str">
        <f>"223410032227"</f>
        <v>223410032227</v>
      </c>
      <c r="C151" s="7">
        <v>88</v>
      </c>
      <c r="D151" s="7">
        <v>76</v>
      </c>
      <c r="E151" s="7">
        <f t="shared" si="6"/>
        <v>83.2</v>
      </c>
      <c r="F151" s="7"/>
      <c r="G151" s="7">
        <f t="shared" si="7"/>
        <v>83.2</v>
      </c>
    </row>
    <row r="152" spans="1:7">
      <c r="A152" s="7" t="s">
        <v>18</v>
      </c>
      <c r="B152" s="7" t="str">
        <f>"223410032106"</f>
        <v>223410032106</v>
      </c>
      <c r="C152" s="7">
        <v>74</v>
      </c>
      <c r="D152" s="7">
        <v>80</v>
      </c>
      <c r="E152" s="7">
        <f t="shared" si="6"/>
        <v>76.4</v>
      </c>
      <c r="F152" s="7"/>
      <c r="G152" s="7">
        <f t="shared" si="7"/>
        <v>76.4</v>
      </c>
    </row>
    <row r="153" spans="1:7">
      <c r="A153" s="7" t="s">
        <v>18</v>
      </c>
      <c r="B153" s="7" t="str">
        <f>"223410032330"</f>
        <v>223410032330</v>
      </c>
      <c r="C153" s="7">
        <v>68</v>
      </c>
      <c r="D153" s="7">
        <v>72</v>
      </c>
      <c r="E153" s="7">
        <f t="shared" si="6"/>
        <v>69.6</v>
      </c>
      <c r="F153" s="7"/>
      <c r="G153" s="7">
        <f t="shared" si="7"/>
        <v>69.6</v>
      </c>
    </row>
    <row r="154" spans="1:7">
      <c r="A154" s="7" t="s">
        <v>19</v>
      </c>
      <c r="B154" s="7" t="str">
        <f>"223410031402"</f>
        <v>223410031402</v>
      </c>
      <c r="C154" s="7" t="s">
        <v>9</v>
      </c>
      <c r="D154" s="7" t="s">
        <v>9</v>
      </c>
      <c r="E154" s="7" t="s">
        <v>9</v>
      </c>
      <c r="F154" s="7"/>
      <c r="G154" s="7" t="s">
        <v>9</v>
      </c>
    </row>
    <row r="155" spans="1:7">
      <c r="A155" s="7" t="s">
        <v>19</v>
      </c>
      <c r="B155" s="7" t="str">
        <f>"223410031408"</f>
        <v>223410031408</v>
      </c>
      <c r="C155" s="7" t="s">
        <v>9</v>
      </c>
      <c r="D155" s="7" t="s">
        <v>9</v>
      </c>
      <c r="E155" s="7" t="s">
        <v>9</v>
      </c>
      <c r="F155" s="7"/>
      <c r="G155" s="7" t="s">
        <v>9</v>
      </c>
    </row>
    <row r="156" spans="1:7">
      <c r="A156" s="7" t="s">
        <v>19</v>
      </c>
      <c r="B156" s="7" t="str">
        <f>"223410031409"</f>
        <v>223410031409</v>
      </c>
      <c r="C156" s="7" t="s">
        <v>9</v>
      </c>
      <c r="D156" s="7" t="s">
        <v>9</v>
      </c>
      <c r="E156" s="7" t="s">
        <v>9</v>
      </c>
      <c r="F156" s="7"/>
      <c r="G156" s="7" t="s">
        <v>9</v>
      </c>
    </row>
    <row r="157" spans="1:7">
      <c r="A157" s="7" t="s">
        <v>19</v>
      </c>
      <c r="B157" s="7" t="str">
        <f>"223410031423"</f>
        <v>223410031423</v>
      </c>
      <c r="C157" s="7">
        <v>83</v>
      </c>
      <c r="D157" s="7">
        <v>91</v>
      </c>
      <c r="E157" s="7">
        <f t="shared" si="6"/>
        <v>86.2</v>
      </c>
      <c r="F157" s="7"/>
      <c r="G157" s="7">
        <f t="shared" si="7"/>
        <v>86.2</v>
      </c>
    </row>
    <row r="158" spans="1:7">
      <c r="A158" s="7" t="s">
        <v>19</v>
      </c>
      <c r="B158" s="7" t="str">
        <f>"223410031428"</f>
        <v>223410031428</v>
      </c>
      <c r="C158" s="7">
        <v>87</v>
      </c>
      <c r="D158" s="7">
        <v>85</v>
      </c>
      <c r="E158" s="7">
        <f t="shared" si="6"/>
        <v>86.2</v>
      </c>
      <c r="F158" s="7"/>
      <c r="G158" s="7">
        <f t="shared" si="7"/>
        <v>86.2</v>
      </c>
    </row>
    <row r="159" spans="1:7">
      <c r="A159" s="7" t="s">
        <v>19</v>
      </c>
      <c r="B159" s="7" t="str">
        <f>"223410031424"</f>
        <v>223410031424</v>
      </c>
      <c r="C159" s="7">
        <v>86</v>
      </c>
      <c r="D159" s="7">
        <v>75</v>
      </c>
      <c r="E159" s="7">
        <f t="shared" si="6"/>
        <v>81.6</v>
      </c>
      <c r="F159" s="7"/>
      <c r="G159" s="7">
        <f t="shared" si="7"/>
        <v>81.6</v>
      </c>
    </row>
    <row r="160" spans="1:7">
      <c r="A160" s="7" t="s">
        <v>19</v>
      </c>
      <c r="B160" s="7" t="str">
        <f>"223410031312"</f>
        <v>223410031312</v>
      </c>
      <c r="C160" s="7">
        <v>82</v>
      </c>
      <c r="D160" s="7">
        <v>71</v>
      </c>
      <c r="E160" s="7">
        <f t="shared" si="6"/>
        <v>77.6</v>
      </c>
      <c r="F160" s="7"/>
      <c r="G160" s="7">
        <f t="shared" si="7"/>
        <v>77.6</v>
      </c>
    </row>
    <row r="161" spans="1:7">
      <c r="A161" s="7" t="s">
        <v>20</v>
      </c>
      <c r="B161" s="7" t="str">
        <f>"223410030201"</f>
        <v>223410030201</v>
      </c>
      <c r="C161" s="7" t="s">
        <v>9</v>
      </c>
      <c r="D161" s="7" t="s">
        <v>9</v>
      </c>
      <c r="E161" s="7" t="s">
        <v>9</v>
      </c>
      <c r="F161" s="7"/>
      <c r="G161" s="7" t="s">
        <v>9</v>
      </c>
    </row>
    <row r="162" spans="1:7">
      <c r="A162" s="7" t="s">
        <v>20</v>
      </c>
      <c r="B162" s="7" t="str">
        <f>"223410030314"</f>
        <v>223410030314</v>
      </c>
      <c r="C162" s="7" t="s">
        <v>9</v>
      </c>
      <c r="D162" s="7" t="s">
        <v>9</v>
      </c>
      <c r="E162" s="7" t="s">
        <v>9</v>
      </c>
      <c r="F162" s="7"/>
      <c r="G162" s="7" t="s">
        <v>9</v>
      </c>
    </row>
    <row r="163" spans="1:7">
      <c r="A163" s="7" t="s">
        <v>20</v>
      </c>
      <c r="B163" s="7" t="str">
        <f>"223410030313"</f>
        <v>223410030313</v>
      </c>
      <c r="C163" s="7">
        <v>91</v>
      </c>
      <c r="D163" s="7">
        <v>86</v>
      </c>
      <c r="E163" s="7">
        <f t="shared" si="6"/>
        <v>89</v>
      </c>
      <c r="F163" s="7"/>
      <c r="G163" s="7">
        <f t="shared" si="7"/>
        <v>89</v>
      </c>
    </row>
    <row r="164" spans="1:7">
      <c r="A164" s="7" t="s">
        <v>20</v>
      </c>
      <c r="B164" s="7" t="str">
        <f>"223410030107"</f>
        <v>223410030107</v>
      </c>
      <c r="C164" s="7">
        <v>95</v>
      </c>
      <c r="D164" s="7">
        <v>69</v>
      </c>
      <c r="E164" s="7">
        <f t="shared" si="6"/>
        <v>84.6</v>
      </c>
      <c r="F164" s="7"/>
      <c r="G164" s="7">
        <f t="shared" si="7"/>
        <v>84.6</v>
      </c>
    </row>
    <row r="165" spans="1:7">
      <c r="A165" s="7" t="s">
        <v>20</v>
      </c>
      <c r="B165" s="7" t="str">
        <f>"223410030422"</f>
        <v>223410030422</v>
      </c>
      <c r="C165" s="7">
        <v>82</v>
      </c>
      <c r="D165" s="7">
        <v>83</v>
      </c>
      <c r="E165" s="7">
        <f t="shared" si="6"/>
        <v>82.4</v>
      </c>
      <c r="F165" s="7"/>
      <c r="G165" s="7">
        <f t="shared" si="7"/>
        <v>82.4</v>
      </c>
    </row>
    <row r="166" spans="1:7">
      <c r="A166" s="7" t="s">
        <v>20</v>
      </c>
      <c r="B166" s="7" t="str">
        <f>"223410030207"</f>
        <v>223410030207</v>
      </c>
      <c r="C166" s="7">
        <v>86</v>
      </c>
      <c r="D166" s="7">
        <v>73</v>
      </c>
      <c r="E166" s="7">
        <f t="shared" si="6"/>
        <v>80.8</v>
      </c>
      <c r="F166" s="7"/>
      <c r="G166" s="7">
        <f t="shared" si="7"/>
        <v>80.8</v>
      </c>
    </row>
    <row r="167" spans="1:7">
      <c r="A167" s="7" t="s">
        <v>20</v>
      </c>
      <c r="B167" s="7" t="str">
        <f>"223410030323"</f>
        <v>223410030323</v>
      </c>
      <c r="C167" s="7">
        <v>75</v>
      </c>
      <c r="D167" s="7">
        <v>81</v>
      </c>
      <c r="E167" s="7">
        <f t="shared" si="6"/>
        <v>77.4</v>
      </c>
      <c r="F167" s="7"/>
      <c r="G167" s="7">
        <f t="shared" si="7"/>
        <v>77.4</v>
      </c>
    </row>
    <row r="168" spans="1:7">
      <c r="A168" s="7" t="s">
        <v>20</v>
      </c>
      <c r="B168" s="7" t="str">
        <f>"223410030105"</f>
        <v>223410030105</v>
      </c>
      <c r="C168" s="7">
        <v>83</v>
      </c>
      <c r="D168" s="7">
        <v>64</v>
      </c>
      <c r="E168" s="7">
        <f t="shared" si="6"/>
        <v>75.4</v>
      </c>
      <c r="F168" s="7"/>
      <c r="G168" s="7">
        <f t="shared" si="7"/>
        <v>75.4</v>
      </c>
    </row>
    <row r="169" spans="1:7">
      <c r="A169" s="7" t="s">
        <v>20</v>
      </c>
      <c r="B169" s="7" t="str">
        <f>"223410030416"</f>
        <v>223410030416</v>
      </c>
      <c r="C169" s="7">
        <v>75</v>
      </c>
      <c r="D169" s="7">
        <v>69</v>
      </c>
      <c r="E169" s="7">
        <f t="shared" si="6"/>
        <v>72.6</v>
      </c>
      <c r="F169" s="7"/>
      <c r="G169" s="7">
        <f t="shared" si="7"/>
        <v>72.6</v>
      </c>
    </row>
    <row r="170" spans="1:7">
      <c r="A170" s="7" t="s">
        <v>20</v>
      </c>
      <c r="B170" s="7" t="str">
        <f>"223410030316"</f>
        <v>223410030316</v>
      </c>
      <c r="C170" s="7">
        <v>70</v>
      </c>
      <c r="D170" s="7">
        <v>74</v>
      </c>
      <c r="E170" s="7">
        <f t="shared" si="6"/>
        <v>71.6</v>
      </c>
      <c r="F170" s="7"/>
      <c r="G170" s="7">
        <f t="shared" si="7"/>
        <v>71.6</v>
      </c>
    </row>
    <row r="171" spans="1:7">
      <c r="A171" s="7" t="s">
        <v>20</v>
      </c>
      <c r="B171" s="7" t="str">
        <f>"223410030218"</f>
        <v>223410030218</v>
      </c>
      <c r="C171" s="7">
        <v>75</v>
      </c>
      <c r="D171" s="7">
        <v>65</v>
      </c>
      <c r="E171" s="7">
        <f t="shared" si="6"/>
        <v>71</v>
      </c>
      <c r="F171" s="7"/>
      <c r="G171" s="7">
        <f t="shared" si="7"/>
        <v>71</v>
      </c>
    </row>
    <row r="172" spans="1:7">
      <c r="A172" s="7" t="s">
        <v>21</v>
      </c>
      <c r="B172" s="7" t="str">
        <f>"223410030602"</f>
        <v>223410030602</v>
      </c>
      <c r="C172" s="7" t="s">
        <v>9</v>
      </c>
      <c r="D172" s="7" t="s">
        <v>9</v>
      </c>
      <c r="E172" s="7" t="s">
        <v>9</v>
      </c>
      <c r="F172" s="7"/>
      <c r="G172" s="7" t="s">
        <v>9</v>
      </c>
    </row>
    <row r="173" spans="1:7">
      <c r="A173" s="7" t="s">
        <v>21</v>
      </c>
      <c r="B173" s="7" t="str">
        <f>"223410030605"</f>
        <v>223410030605</v>
      </c>
      <c r="C173" s="7" t="s">
        <v>9</v>
      </c>
      <c r="D173" s="7" t="s">
        <v>9</v>
      </c>
      <c r="E173" s="7" t="s">
        <v>9</v>
      </c>
      <c r="F173" s="7"/>
      <c r="G173" s="7" t="s">
        <v>9</v>
      </c>
    </row>
    <row r="174" spans="1:7">
      <c r="A174" s="7" t="s">
        <v>21</v>
      </c>
      <c r="B174" s="7" t="str">
        <f>"223410030729"</f>
        <v>223410030729</v>
      </c>
      <c r="C174" s="7">
        <v>79</v>
      </c>
      <c r="D174" s="7">
        <v>76</v>
      </c>
      <c r="E174" s="7">
        <f t="shared" si="6"/>
        <v>77.8</v>
      </c>
      <c r="F174" s="7"/>
      <c r="G174" s="7">
        <f t="shared" si="7"/>
        <v>77.8</v>
      </c>
    </row>
    <row r="175" spans="1:7">
      <c r="A175" s="7" t="s">
        <v>21</v>
      </c>
      <c r="B175" s="7" t="str">
        <f>"223410030721"</f>
        <v>223410030721</v>
      </c>
      <c r="C175" s="7">
        <v>73</v>
      </c>
      <c r="D175" s="7">
        <v>83</v>
      </c>
      <c r="E175" s="7">
        <f t="shared" si="6"/>
        <v>77</v>
      </c>
      <c r="F175" s="7"/>
      <c r="G175" s="7">
        <f t="shared" si="7"/>
        <v>77</v>
      </c>
    </row>
    <row r="176" spans="1:7">
      <c r="A176" s="7" t="s">
        <v>21</v>
      </c>
      <c r="B176" s="7" t="str">
        <f>"223410030609"</f>
        <v>223410030609</v>
      </c>
      <c r="C176" s="7">
        <v>68</v>
      </c>
      <c r="D176" s="7">
        <v>79</v>
      </c>
      <c r="E176" s="7">
        <f t="shared" si="6"/>
        <v>72.4</v>
      </c>
      <c r="F176" s="7"/>
      <c r="G176" s="7">
        <f t="shared" si="7"/>
        <v>72.4</v>
      </c>
    </row>
    <row r="177" spans="1:7">
      <c r="A177" s="7" t="s">
        <v>21</v>
      </c>
      <c r="B177" s="7" t="str">
        <f>"223410030601"</f>
        <v>223410030601</v>
      </c>
      <c r="C177" s="7">
        <v>77</v>
      </c>
      <c r="D177" s="7">
        <v>61</v>
      </c>
      <c r="E177" s="7">
        <f t="shared" si="6"/>
        <v>70.6</v>
      </c>
      <c r="F177" s="7"/>
      <c r="G177" s="7">
        <f t="shared" si="7"/>
        <v>70.6</v>
      </c>
    </row>
    <row r="178" spans="1:7">
      <c r="A178" s="7" t="s">
        <v>21</v>
      </c>
      <c r="B178" s="7" t="str">
        <f>"223410030616"</f>
        <v>223410030616</v>
      </c>
      <c r="C178" s="7">
        <v>63</v>
      </c>
      <c r="D178" s="7">
        <v>67</v>
      </c>
      <c r="E178" s="7">
        <f t="shared" si="6"/>
        <v>64.6</v>
      </c>
      <c r="F178" s="7"/>
      <c r="G178" s="7">
        <f t="shared" si="7"/>
        <v>64.6</v>
      </c>
    </row>
    <row r="179" spans="1:7">
      <c r="A179" s="7" t="s">
        <v>21</v>
      </c>
      <c r="B179" s="7" t="str">
        <f>"223410030810"</f>
        <v>223410030810</v>
      </c>
      <c r="C179" s="7">
        <v>66</v>
      </c>
      <c r="D179" s="7">
        <v>61</v>
      </c>
      <c r="E179" s="7">
        <f t="shared" si="6"/>
        <v>64</v>
      </c>
      <c r="F179" s="7"/>
      <c r="G179" s="7">
        <f t="shared" si="7"/>
        <v>64</v>
      </c>
    </row>
    <row r="180" spans="1:7">
      <c r="A180" s="7" t="s">
        <v>21</v>
      </c>
      <c r="B180" s="7" t="str">
        <f>"223410030830"</f>
        <v>223410030830</v>
      </c>
      <c r="C180" s="7">
        <v>58</v>
      </c>
      <c r="D180" s="7">
        <v>59</v>
      </c>
      <c r="E180" s="7">
        <f t="shared" si="6"/>
        <v>58.4</v>
      </c>
      <c r="F180" s="7"/>
      <c r="G180" s="7">
        <f t="shared" si="7"/>
        <v>58.4</v>
      </c>
    </row>
    <row r="181" spans="1:7">
      <c r="A181" s="7" t="s">
        <v>21</v>
      </c>
      <c r="B181" s="7" t="str">
        <f>"223410030818"</f>
        <v>223410030818</v>
      </c>
      <c r="C181" s="7">
        <v>55</v>
      </c>
      <c r="D181" s="7">
        <v>62</v>
      </c>
      <c r="E181" s="7">
        <f t="shared" si="6"/>
        <v>57.8</v>
      </c>
      <c r="F181" s="7"/>
      <c r="G181" s="7">
        <f t="shared" si="7"/>
        <v>57.8</v>
      </c>
    </row>
    <row r="182" spans="1:7">
      <c r="A182" s="7" t="s">
        <v>22</v>
      </c>
      <c r="B182" s="7" t="str">
        <f>"223410030607"</f>
        <v>223410030607</v>
      </c>
      <c r="C182" s="7" t="s">
        <v>9</v>
      </c>
      <c r="D182" s="7" t="s">
        <v>9</v>
      </c>
      <c r="E182" s="7" t="s">
        <v>9</v>
      </c>
      <c r="F182" s="7"/>
      <c r="G182" s="7" t="s">
        <v>9</v>
      </c>
    </row>
    <row r="183" spans="1:7">
      <c r="A183" s="7" t="s">
        <v>22</v>
      </c>
      <c r="B183" s="7" t="str">
        <f>"223410030703"</f>
        <v>223410030703</v>
      </c>
      <c r="C183" s="7">
        <v>82</v>
      </c>
      <c r="D183" s="7">
        <v>96</v>
      </c>
      <c r="E183" s="7">
        <f t="shared" si="6"/>
        <v>87.6</v>
      </c>
      <c r="F183" s="7"/>
      <c r="G183" s="7">
        <f t="shared" si="7"/>
        <v>87.6</v>
      </c>
    </row>
    <row r="184" spans="1:7">
      <c r="A184" s="7" t="s">
        <v>22</v>
      </c>
      <c r="B184" s="7" t="str">
        <f>"223410030724"</f>
        <v>223410030724</v>
      </c>
      <c r="C184" s="7">
        <v>86</v>
      </c>
      <c r="D184" s="7">
        <v>87</v>
      </c>
      <c r="E184" s="7">
        <f t="shared" si="6"/>
        <v>86.4</v>
      </c>
      <c r="F184" s="7"/>
      <c r="G184" s="7">
        <f t="shared" si="7"/>
        <v>86.4</v>
      </c>
    </row>
    <row r="185" spans="1:7">
      <c r="A185" s="7" t="s">
        <v>22</v>
      </c>
      <c r="B185" s="7" t="str">
        <f>"223410030704"</f>
        <v>223410030704</v>
      </c>
      <c r="C185" s="7">
        <v>77</v>
      </c>
      <c r="D185" s="7">
        <v>100</v>
      </c>
      <c r="E185" s="7">
        <f t="shared" si="6"/>
        <v>86.2</v>
      </c>
      <c r="F185" s="7"/>
      <c r="G185" s="7">
        <f t="shared" si="7"/>
        <v>86.2</v>
      </c>
    </row>
    <row r="186" spans="1:7">
      <c r="A186" s="7" t="s">
        <v>22</v>
      </c>
      <c r="B186" s="7" t="str">
        <f>"223410030717"</f>
        <v>223410030717</v>
      </c>
      <c r="C186" s="7">
        <v>81</v>
      </c>
      <c r="D186" s="7">
        <v>83</v>
      </c>
      <c r="E186" s="7">
        <f t="shared" si="6"/>
        <v>81.8</v>
      </c>
      <c r="F186" s="7"/>
      <c r="G186" s="7">
        <f t="shared" si="7"/>
        <v>81.8</v>
      </c>
    </row>
    <row r="187" spans="1:7">
      <c r="A187" s="7" t="s">
        <v>22</v>
      </c>
      <c r="B187" s="7" t="str">
        <f>"223410030822"</f>
        <v>223410030822</v>
      </c>
      <c r="C187" s="7">
        <v>80</v>
      </c>
      <c r="D187" s="7">
        <v>64</v>
      </c>
      <c r="E187" s="7">
        <f t="shared" si="6"/>
        <v>73.6</v>
      </c>
      <c r="F187" s="7"/>
      <c r="G187" s="7">
        <f t="shared" si="7"/>
        <v>73.6</v>
      </c>
    </row>
    <row r="188" spans="1:7">
      <c r="A188" s="7" t="s">
        <v>22</v>
      </c>
      <c r="B188" s="7" t="str">
        <f>"223410030613"</f>
        <v>223410030613</v>
      </c>
      <c r="C188" s="7">
        <v>76</v>
      </c>
      <c r="D188" s="7">
        <v>67</v>
      </c>
      <c r="E188" s="7">
        <f t="shared" si="6"/>
        <v>72.4</v>
      </c>
      <c r="F188" s="7"/>
      <c r="G188" s="7">
        <f t="shared" si="7"/>
        <v>72.4</v>
      </c>
    </row>
    <row r="189" spans="1:7">
      <c r="A189" s="7" t="s">
        <v>22</v>
      </c>
      <c r="B189" s="7" t="str">
        <f>"223410030719"</f>
        <v>223410030719</v>
      </c>
      <c r="C189" s="7">
        <v>83</v>
      </c>
      <c r="D189" s="7">
        <v>49</v>
      </c>
      <c r="E189" s="7">
        <f t="shared" si="6"/>
        <v>69.4</v>
      </c>
      <c r="F189" s="7"/>
      <c r="G189" s="7">
        <f t="shared" si="7"/>
        <v>69.4</v>
      </c>
    </row>
    <row r="190" spans="1:7">
      <c r="A190" s="7" t="s">
        <v>22</v>
      </c>
      <c r="B190" s="7" t="str">
        <f>"223410030604"</f>
        <v>223410030604</v>
      </c>
      <c r="C190" s="7">
        <v>70</v>
      </c>
      <c r="D190" s="7">
        <v>59</v>
      </c>
      <c r="E190" s="7">
        <f t="shared" si="6"/>
        <v>65.6</v>
      </c>
      <c r="F190" s="7"/>
      <c r="G190" s="7">
        <f t="shared" si="7"/>
        <v>65.6</v>
      </c>
    </row>
    <row r="191" spans="1:7">
      <c r="A191" s="7" t="s">
        <v>22</v>
      </c>
      <c r="B191" s="7" t="str">
        <f>"223410030716"</f>
        <v>223410030716</v>
      </c>
      <c r="C191" s="7">
        <v>58</v>
      </c>
      <c r="D191" s="7">
        <v>76</v>
      </c>
      <c r="E191" s="7">
        <f t="shared" si="6"/>
        <v>65.2</v>
      </c>
      <c r="F191" s="7"/>
      <c r="G191" s="7">
        <f t="shared" si="7"/>
        <v>65.2</v>
      </c>
    </row>
    <row r="192" spans="1:7">
      <c r="A192" s="7" t="s">
        <v>22</v>
      </c>
      <c r="B192" s="7" t="str">
        <f>"223410030708"</f>
        <v>223410030708</v>
      </c>
      <c r="C192" s="7">
        <v>53</v>
      </c>
      <c r="D192" s="7">
        <v>70</v>
      </c>
      <c r="E192" s="7">
        <f t="shared" si="6"/>
        <v>59.8</v>
      </c>
      <c r="F192" s="7"/>
      <c r="G192" s="7">
        <f t="shared" si="7"/>
        <v>59.8</v>
      </c>
    </row>
    <row r="193" spans="1:7">
      <c r="A193" s="7" t="s">
        <v>22</v>
      </c>
      <c r="B193" s="7" t="str">
        <f>"223410030824"</f>
        <v>223410030824</v>
      </c>
      <c r="C193" s="7">
        <v>62</v>
      </c>
      <c r="D193" s="7">
        <v>54</v>
      </c>
      <c r="E193" s="7">
        <f t="shared" si="6"/>
        <v>58.8</v>
      </c>
      <c r="F193" s="7"/>
      <c r="G193" s="7">
        <f t="shared" si="7"/>
        <v>58.8</v>
      </c>
    </row>
    <row r="194" spans="1:7">
      <c r="A194" s="7" t="s">
        <v>23</v>
      </c>
      <c r="B194" s="7" t="str">
        <f>"223410031404"</f>
        <v>223410031404</v>
      </c>
      <c r="C194" s="7" t="s">
        <v>9</v>
      </c>
      <c r="D194" s="7" t="s">
        <v>9</v>
      </c>
      <c r="E194" s="7" t="s">
        <v>9</v>
      </c>
      <c r="F194" s="7"/>
      <c r="G194" s="7" t="s">
        <v>9</v>
      </c>
    </row>
    <row r="195" spans="1:7">
      <c r="A195" s="7" t="s">
        <v>23</v>
      </c>
      <c r="B195" s="7" t="str">
        <f>"223410031414"</f>
        <v>223410031414</v>
      </c>
      <c r="C195" s="7">
        <v>79</v>
      </c>
      <c r="D195" s="7">
        <v>92</v>
      </c>
      <c r="E195" s="7">
        <f t="shared" ref="E195:E258" si="8">C195*0.6+D195*0.4</f>
        <v>84.2</v>
      </c>
      <c r="F195" s="7"/>
      <c r="G195" s="7">
        <f t="shared" si="7"/>
        <v>84.2</v>
      </c>
    </row>
    <row r="196" spans="1:7">
      <c r="A196" s="7" t="s">
        <v>23</v>
      </c>
      <c r="B196" s="7" t="str">
        <f>"223410031306"</f>
        <v>223410031306</v>
      </c>
      <c r="C196" s="7">
        <v>86</v>
      </c>
      <c r="D196" s="7">
        <v>73</v>
      </c>
      <c r="E196" s="7">
        <f t="shared" si="8"/>
        <v>80.8</v>
      </c>
      <c r="F196" s="7"/>
      <c r="G196" s="7">
        <f t="shared" si="7"/>
        <v>80.8</v>
      </c>
    </row>
    <row r="197" spans="1:7">
      <c r="A197" s="7" t="s">
        <v>23</v>
      </c>
      <c r="B197" s="7" t="str">
        <f>"223410031412"</f>
        <v>223410031412</v>
      </c>
      <c r="C197" s="7">
        <v>83</v>
      </c>
      <c r="D197" s="7">
        <v>77</v>
      </c>
      <c r="E197" s="7">
        <f t="shared" si="8"/>
        <v>80.6</v>
      </c>
      <c r="F197" s="7"/>
      <c r="G197" s="7">
        <f t="shared" si="7"/>
        <v>80.6</v>
      </c>
    </row>
    <row r="198" spans="1:7">
      <c r="A198" s="7" t="s">
        <v>23</v>
      </c>
      <c r="B198" s="7" t="str">
        <f>"223410031427"</f>
        <v>223410031427</v>
      </c>
      <c r="C198" s="7">
        <v>79</v>
      </c>
      <c r="D198" s="7">
        <v>68</v>
      </c>
      <c r="E198" s="7">
        <f t="shared" si="8"/>
        <v>74.6</v>
      </c>
      <c r="F198" s="7"/>
      <c r="G198" s="7">
        <f t="shared" ref="G198:G261" si="9">E198+F198</f>
        <v>74.6</v>
      </c>
    </row>
    <row r="199" spans="1:7">
      <c r="A199" s="7" t="s">
        <v>23</v>
      </c>
      <c r="B199" s="7" t="str">
        <f>"223410031302"</f>
        <v>223410031302</v>
      </c>
      <c r="C199" s="7">
        <v>76</v>
      </c>
      <c r="D199" s="7">
        <v>71</v>
      </c>
      <c r="E199" s="7">
        <f t="shared" si="8"/>
        <v>74</v>
      </c>
      <c r="F199" s="7"/>
      <c r="G199" s="7">
        <f t="shared" si="9"/>
        <v>74</v>
      </c>
    </row>
    <row r="200" spans="1:7">
      <c r="A200" s="7" t="s">
        <v>23</v>
      </c>
      <c r="B200" s="7" t="str">
        <f>"223410031422"</f>
        <v>223410031422</v>
      </c>
      <c r="C200" s="7">
        <v>51</v>
      </c>
      <c r="D200" s="7">
        <v>46</v>
      </c>
      <c r="E200" s="7">
        <f t="shared" si="8"/>
        <v>49</v>
      </c>
      <c r="F200" s="7"/>
      <c r="G200" s="7">
        <f t="shared" si="9"/>
        <v>49</v>
      </c>
    </row>
    <row r="201" spans="1:7">
      <c r="A201" s="7" t="s">
        <v>24</v>
      </c>
      <c r="B201" s="7" t="str">
        <f>"223410030901"</f>
        <v>223410030901</v>
      </c>
      <c r="C201" s="7" t="s">
        <v>9</v>
      </c>
      <c r="D201" s="7" t="s">
        <v>9</v>
      </c>
      <c r="E201" s="7" t="s">
        <v>9</v>
      </c>
      <c r="F201" s="7"/>
      <c r="G201" s="7" t="s">
        <v>9</v>
      </c>
    </row>
    <row r="202" spans="1:7">
      <c r="A202" s="7" t="s">
        <v>24</v>
      </c>
      <c r="B202" s="7" t="str">
        <f>"223410030912"</f>
        <v>223410030912</v>
      </c>
      <c r="C202" s="7" t="s">
        <v>9</v>
      </c>
      <c r="D202" s="7" t="s">
        <v>9</v>
      </c>
      <c r="E202" s="7" t="s">
        <v>9</v>
      </c>
      <c r="F202" s="7"/>
      <c r="G202" s="7" t="s">
        <v>9</v>
      </c>
    </row>
    <row r="203" spans="1:7">
      <c r="A203" s="7" t="s">
        <v>24</v>
      </c>
      <c r="B203" s="7" t="str">
        <f>"223410030925"</f>
        <v>223410030925</v>
      </c>
      <c r="C203" s="7" t="s">
        <v>9</v>
      </c>
      <c r="D203" s="7" t="s">
        <v>9</v>
      </c>
      <c r="E203" s="7" t="s">
        <v>9</v>
      </c>
      <c r="F203" s="7"/>
      <c r="G203" s="7" t="s">
        <v>9</v>
      </c>
    </row>
    <row r="204" spans="1:7">
      <c r="A204" s="7" t="s">
        <v>24</v>
      </c>
      <c r="B204" s="7" t="str">
        <f>"223410031012"</f>
        <v>223410031012</v>
      </c>
      <c r="C204" s="7">
        <v>109</v>
      </c>
      <c r="D204" s="7">
        <v>90</v>
      </c>
      <c r="E204" s="7">
        <f t="shared" si="8"/>
        <v>101.4</v>
      </c>
      <c r="F204" s="7"/>
      <c r="G204" s="7">
        <f t="shared" si="9"/>
        <v>101.4</v>
      </c>
    </row>
    <row r="205" spans="1:7">
      <c r="A205" s="7" t="s">
        <v>24</v>
      </c>
      <c r="B205" s="7" t="str">
        <f>"223410030905"</f>
        <v>223410030905</v>
      </c>
      <c r="C205" s="7">
        <v>106</v>
      </c>
      <c r="D205" s="7">
        <v>92</v>
      </c>
      <c r="E205" s="7">
        <f t="shared" si="8"/>
        <v>100.4</v>
      </c>
      <c r="F205" s="7"/>
      <c r="G205" s="7">
        <f t="shared" si="9"/>
        <v>100.4</v>
      </c>
    </row>
    <row r="206" spans="1:7">
      <c r="A206" s="7" t="s">
        <v>24</v>
      </c>
      <c r="B206" s="7" t="str">
        <f>"223410030906"</f>
        <v>223410030906</v>
      </c>
      <c r="C206" s="7">
        <v>99</v>
      </c>
      <c r="D206" s="7">
        <v>83</v>
      </c>
      <c r="E206" s="7">
        <f t="shared" si="8"/>
        <v>92.6</v>
      </c>
      <c r="F206" s="7"/>
      <c r="G206" s="7">
        <f t="shared" si="9"/>
        <v>92.6</v>
      </c>
    </row>
    <row r="207" spans="1:7">
      <c r="A207" s="7" t="s">
        <v>24</v>
      </c>
      <c r="B207" s="7" t="str">
        <f>"223410031006"</f>
        <v>223410031006</v>
      </c>
      <c r="C207" s="7">
        <v>99</v>
      </c>
      <c r="D207" s="7">
        <v>82</v>
      </c>
      <c r="E207" s="7">
        <f t="shared" si="8"/>
        <v>92.2</v>
      </c>
      <c r="F207" s="7"/>
      <c r="G207" s="7">
        <f t="shared" si="9"/>
        <v>92.2</v>
      </c>
    </row>
    <row r="208" spans="1:7">
      <c r="A208" s="7" t="s">
        <v>24</v>
      </c>
      <c r="B208" s="7" t="str">
        <f>"223410031010"</f>
        <v>223410031010</v>
      </c>
      <c r="C208" s="7">
        <v>97</v>
      </c>
      <c r="D208" s="7">
        <v>79</v>
      </c>
      <c r="E208" s="7">
        <f t="shared" si="8"/>
        <v>89.8</v>
      </c>
      <c r="F208" s="7"/>
      <c r="G208" s="7">
        <f t="shared" si="9"/>
        <v>89.8</v>
      </c>
    </row>
    <row r="209" spans="1:7">
      <c r="A209" s="7" t="s">
        <v>25</v>
      </c>
      <c r="B209" s="7" t="str">
        <f>"223410031507"</f>
        <v>223410031507</v>
      </c>
      <c r="C209" s="7" t="s">
        <v>9</v>
      </c>
      <c r="D209" s="7" t="s">
        <v>9</v>
      </c>
      <c r="E209" s="7" t="s">
        <v>9</v>
      </c>
      <c r="F209" s="7"/>
      <c r="G209" s="7" t="s">
        <v>9</v>
      </c>
    </row>
    <row r="210" spans="1:7">
      <c r="A210" s="7" t="s">
        <v>25</v>
      </c>
      <c r="B210" s="7" t="str">
        <f>"223410031609"</f>
        <v>223410031609</v>
      </c>
      <c r="C210" s="7" t="s">
        <v>9</v>
      </c>
      <c r="D210" s="7" t="s">
        <v>9</v>
      </c>
      <c r="E210" s="7" t="s">
        <v>9</v>
      </c>
      <c r="F210" s="7"/>
      <c r="G210" s="7" t="s">
        <v>9</v>
      </c>
    </row>
    <row r="211" spans="1:7">
      <c r="A211" s="7" t="s">
        <v>25</v>
      </c>
      <c r="B211" s="7" t="str">
        <f>"223410031616"</f>
        <v>223410031616</v>
      </c>
      <c r="C211" s="7" t="s">
        <v>9</v>
      </c>
      <c r="D211" s="7" t="s">
        <v>9</v>
      </c>
      <c r="E211" s="7" t="s">
        <v>9</v>
      </c>
      <c r="F211" s="7"/>
      <c r="G211" s="7" t="s">
        <v>9</v>
      </c>
    </row>
    <row r="212" spans="1:7">
      <c r="A212" s="7" t="s">
        <v>25</v>
      </c>
      <c r="B212" s="7" t="str">
        <f>"223410031627"</f>
        <v>223410031627</v>
      </c>
      <c r="C212" s="7" t="s">
        <v>9</v>
      </c>
      <c r="D212" s="7" t="s">
        <v>9</v>
      </c>
      <c r="E212" s="7" t="s">
        <v>9</v>
      </c>
      <c r="F212" s="7"/>
      <c r="G212" s="7" t="s">
        <v>9</v>
      </c>
    </row>
    <row r="213" spans="1:7">
      <c r="A213" s="7" t="s">
        <v>25</v>
      </c>
      <c r="B213" s="7" t="str">
        <f>"223410031615"</f>
        <v>223410031615</v>
      </c>
      <c r="C213" s="7">
        <v>102</v>
      </c>
      <c r="D213" s="7">
        <v>84</v>
      </c>
      <c r="E213" s="7">
        <f t="shared" si="8"/>
        <v>94.8</v>
      </c>
      <c r="F213" s="7"/>
      <c r="G213" s="7">
        <f t="shared" si="9"/>
        <v>94.8</v>
      </c>
    </row>
    <row r="214" spans="1:7">
      <c r="A214" s="7" t="s">
        <v>25</v>
      </c>
      <c r="B214" s="7" t="str">
        <f>"223410031628"</f>
        <v>223410031628</v>
      </c>
      <c r="C214" s="7">
        <v>88</v>
      </c>
      <c r="D214" s="7">
        <v>94</v>
      </c>
      <c r="E214" s="7">
        <f t="shared" si="8"/>
        <v>90.4</v>
      </c>
      <c r="F214" s="7"/>
      <c r="G214" s="7">
        <f t="shared" si="9"/>
        <v>90.4</v>
      </c>
    </row>
    <row r="215" spans="1:7">
      <c r="A215" s="7" t="s">
        <v>25</v>
      </c>
      <c r="B215" s="7" t="str">
        <f>"223410031624"</f>
        <v>223410031624</v>
      </c>
      <c r="C215" s="7">
        <v>81</v>
      </c>
      <c r="D215" s="7">
        <v>90</v>
      </c>
      <c r="E215" s="7">
        <f t="shared" si="8"/>
        <v>84.6</v>
      </c>
      <c r="F215" s="7"/>
      <c r="G215" s="7">
        <f t="shared" si="9"/>
        <v>84.6</v>
      </c>
    </row>
    <row r="216" spans="1:7">
      <c r="A216" s="7" t="s">
        <v>25</v>
      </c>
      <c r="B216" s="7" t="str">
        <f>"223410031709"</f>
        <v>223410031709</v>
      </c>
      <c r="C216" s="7">
        <v>82</v>
      </c>
      <c r="D216" s="7">
        <v>85</v>
      </c>
      <c r="E216" s="7">
        <f t="shared" si="8"/>
        <v>83.2</v>
      </c>
      <c r="F216" s="7"/>
      <c r="G216" s="7">
        <f t="shared" si="9"/>
        <v>83.2</v>
      </c>
    </row>
    <row r="217" spans="1:7">
      <c r="A217" s="7" t="s">
        <v>25</v>
      </c>
      <c r="B217" s="7" t="str">
        <f>"223410031512"</f>
        <v>223410031512</v>
      </c>
      <c r="C217" s="7">
        <v>84.5</v>
      </c>
      <c r="D217" s="7">
        <v>74</v>
      </c>
      <c r="E217" s="7">
        <f t="shared" si="8"/>
        <v>80.3</v>
      </c>
      <c r="F217" s="7"/>
      <c r="G217" s="7">
        <f t="shared" si="9"/>
        <v>80.3</v>
      </c>
    </row>
    <row r="218" spans="1:7">
      <c r="A218" s="7" t="s">
        <v>25</v>
      </c>
      <c r="B218" s="7" t="str">
        <f>"223410031619"</f>
        <v>223410031619</v>
      </c>
      <c r="C218" s="7">
        <v>82</v>
      </c>
      <c r="D218" s="7">
        <v>76</v>
      </c>
      <c r="E218" s="7">
        <f t="shared" si="8"/>
        <v>79.6</v>
      </c>
      <c r="F218" s="7"/>
      <c r="G218" s="7">
        <f t="shared" si="9"/>
        <v>79.6</v>
      </c>
    </row>
    <row r="219" spans="1:7">
      <c r="A219" s="7" t="s">
        <v>25</v>
      </c>
      <c r="B219" s="7" t="str">
        <f>"223410031625"</f>
        <v>223410031625</v>
      </c>
      <c r="C219" s="7">
        <v>84</v>
      </c>
      <c r="D219" s="7">
        <v>65</v>
      </c>
      <c r="E219" s="7">
        <f t="shared" si="8"/>
        <v>76.4</v>
      </c>
      <c r="F219" s="7"/>
      <c r="G219" s="7">
        <f t="shared" si="9"/>
        <v>76.4</v>
      </c>
    </row>
    <row r="220" spans="1:7">
      <c r="A220" s="7" t="s">
        <v>25</v>
      </c>
      <c r="B220" s="7" t="str">
        <f>"223410031501"</f>
        <v>223410031501</v>
      </c>
      <c r="C220" s="7">
        <v>66</v>
      </c>
      <c r="D220" s="7">
        <v>65</v>
      </c>
      <c r="E220" s="7">
        <f t="shared" si="8"/>
        <v>65.6</v>
      </c>
      <c r="F220" s="7"/>
      <c r="G220" s="7">
        <f t="shared" si="9"/>
        <v>65.6</v>
      </c>
    </row>
    <row r="221" spans="1:7">
      <c r="A221" s="7" t="s">
        <v>25</v>
      </c>
      <c r="B221" s="7" t="str">
        <f>"223410031528"</f>
        <v>223410031528</v>
      </c>
      <c r="C221" s="7">
        <v>65</v>
      </c>
      <c r="D221" s="7">
        <v>65</v>
      </c>
      <c r="E221" s="7">
        <f t="shared" si="8"/>
        <v>65</v>
      </c>
      <c r="F221" s="7"/>
      <c r="G221" s="7">
        <f t="shared" si="9"/>
        <v>65</v>
      </c>
    </row>
    <row r="222" spans="1:7">
      <c r="A222" s="7" t="s">
        <v>25</v>
      </c>
      <c r="B222" s="7" t="str">
        <f>"223410031520"</f>
        <v>223410031520</v>
      </c>
      <c r="C222" s="7">
        <v>56.5</v>
      </c>
      <c r="D222" s="7">
        <v>76</v>
      </c>
      <c r="E222" s="7">
        <f t="shared" si="8"/>
        <v>64.3</v>
      </c>
      <c r="F222" s="7"/>
      <c r="G222" s="7">
        <f t="shared" si="9"/>
        <v>64.3</v>
      </c>
    </row>
    <row r="223" spans="1:7">
      <c r="A223" s="7" t="s">
        <v>25</v>
      </c>
      <c r="B223" s="7" t="str">
        <f>"223410031706"</f>
        <v>223410031706</v>
      </c>
      <c r="C223" s="7">
        <v>53</v>
      </c>
      <c r="D223" s="7">
        <v>74</v>
      </c>
      <c r="E223" s="7">
        <f t="shared" si="8"/>
        <v>61.4</v>
      </c>
      <c r="F223" s="7"/>
      <c r="G223" s="7">
        <f t="shared" si="9"/>
        <v>61.4</v>
      </c>
    </row>
    <row r="224" spans="1:7">
      <c r="A224" s="7" t="s">
        <v>25</v>
      </c>
      <c r="B224" s="7" t="str">
        <f>"223410031506"</f>
        <v>223410031506</v>
      </c>
      <c r="C224" s="7">
        <v>57.5</v>
      </c>
      <c r="D224" s="7">
        <v>66</v>
      </c>
      <c r="E224" s="7">
        <f t="shared" si="8"/>
        <v>60.9</v>
      </c>
      <c r="F224" s="7"/>
      <c r="G224" s="7">
        <f t="shared" si="9"/>
        <v>60.9</v>
      </c>
    </row>
    <row r="225" spans="1:7">
      <c r="A225" s="7" t="s">
        <v>26</v>
      </c>
      <c r="B225" s="7" t="str">
        <f>"223410032213"</f>
        <v>223410032213</v>
      </c>
      <c r="C225" s="7" t="s">
        <v>9</v>
      </c>
      <c r="D225" s="7" t="s">
        <v>9</v>
      </c>
      <c r="E225" s="7" t="s">
        <v>9</v>
      </c>
      <c r="F225" s="7"/>
      <c r="G225" s="7" t="s">
        <v>9</v>
      </c>
    </row>
    <row r="226" spans="1:7">
      <c r="A226" s="7" t="s">
        <v>26</v>
      </c>
      <c r="B226" s="7" t="str">
        <f>"223410032220"</f>
        <v>223410032220</v>
      </c>
      <c r="C226" s="7" t="s">
        <v>9</v>
      </c>
      <c r="D226" s="7" t="s">
        <v>9</v>
      </c>
      <c r="E226" s="7" t="s">
        <v>9</v>
      </c>
      <c r="F226" s="7"/>
      <c r="G226" s="7" t="s">
        <v>9</v>
      </c>
    </row>
    <row r="227" spans="1:7">
      <c r="A227" s="7" t="s">
        <v>26</v>
      </c>
      <c r="B227" s="7" t="str">
        <f>"223410032226"</f>
        <v>223410032226</v>
      </c>
      <c r="C227" s="7" t="s">
        <v>9</v>
      </c>
      <c r="D227" s="7" t="s">
        <v>9</v>
      </c>
      <c r="E227" s="7" t="s">
        <v>9</v>
      </c>
      <c r="F227" s="7"/>
      <c r="G227" s="7" t="s">
        <v>9</v>
      </c>
    </row>
    <row r="228" spans="1:7">
      <c r="A228" s="7" t="s">
        <v>26</v>
      </c>
      <c r="B228" s="7" t="str">
        <f>"223410032228"</f>
        <v>223410032228</v>
      </c>
      <c r="C228" s="7" t="s">
        <v>9</v>
      </c>
      <c r="D228" s="7" t="s">
        <v>9</v>
      </c>
      <c r="E228" s="7" t="s">
        <v>9</v>
      </c>
      <c r="F228" s="7"/>
      <c r="G228" s="7" t="s">
        <v>9</v>
      </c>
    </row>
    <row r="229" spans="1:7">
      <c r="A229" s="7" t="s">
        <v>26</v>
      </c>
      <c r="B229" s="7" t="str">
        <f>"223410032309"</f>
        <v>223410032309</v>
      </c>
      <c r="C229" s="7" t="s">
        <v>9</v>
      </c>
      <c r="D229" s="7" t="s">
        <v>9</v>
      </c>
      <c r="E229" s="7" t="s">
        <v>9</v>
      </c>
      <c r="F229" s="7"/>
      <c r="G229" s="7" t="s">
        <v>9</v>
      </c>
    </row>
    <row r="230" spans="1:7">
      <c r="A230" s="7" t="s">
        <v>26</v>
      </c>
      <c r="B230" s="7" t="str">
        <f>"223410032321"</f>
        <v>223410032321</v>
      </c>
      <c r="C230" s="7" t="s">
        <v>9</v>
      </c>
      <c r="D230" s="7" t="s">
        <v>9</v>
      </c>
      <c r="E230" s="7" t="s">
        <v>9</v>
      </c>
      <c r="F230" s="7"/>
      <c r="G230" s="7" t="s">
        <v>9</v>
      </c>
    </row>
    <row r="231" spans="1:7">
      <c r="A231" s="7" t="s">
        <v>26</v>
      </c>
      <c r="B231" s="7" t="str">
        <f>"223410032403"</f>
        <v>223410032403</v>
      </c>
      <c r="C231" s="7" t="s">
        <v>9</v>
      </c>
      <c r="D231" s="7" t="s">
        <v>9</v>
      </c>
      <c r="E231" s="7" t="s">
        <v>9</v>
      </c>
      <c r="F231" s="7"/>
      <c r="G231" s="7" t="s">
        <v>9</v>
      </c>
    </row>
    <row r="232" spans="1:7">
      <c r="A232" s="7" t="s">
        <v>26</v>
      </c>
      <c r="B232" s="7" t="str">
        <f>"223410032427"</f>
        <v>223410032427</v>
      </c>
      <c r="C232" s="7" t="s">
        <v>9</v>
      </c>
      <c r="D232" s="7" t="s">
        <v>9</v>
      </c>
      <c r="E232" s="7" t="s">
        <v>9</v>
      </c>
      <c r="F232" s="7"/>
      <c r="G232" s="7" t="s">
        <v>9</v>
      </c>
    </row>
    <row r="233" spans="1:7">
      <c r="A233" s="7" t="s">
        <v>26</v>
      </c>
      <c r="B233" s="7" t="str">
        <f>"223410032502"</f>
        <v>223410032502</v>
      </c>
      <c r="C233" s="7" t="s">
        <v>9</v>
      </c>
      <c r="D233" s="7" t="s">
        <v>9</v>
      </c>
      <c r="E233" s="7" t="s">
        <v>9</v>
      </c>
      <c r="F233" s="7"/>
      <c r="G233" s="7" t="s">
        <v>9</v>
      </c>
    </row>
    <row r="234" spans="1:7">
      <c r="A234" s="7" t="s">
        <v>26</v>
      </c>
      <c r="B234" s="7" t="str">
        <f>"223410032529"</f>
        <v>223410032529</v>
      </c>
      <c r="C234" s="7" t="s">
        <v>9</v>
      </c>
      <c r="D234" s="7" t="s">
        <v>9</v>
      </c>
      <c r="E234" s="7" t="s">
        <v>9</v>
      </c>
      <c r="F234" s="7"/>
      <c r="G234" s="7" t="s">
        <v>9</v>
      </c>
    </row>
    <row r="235" spans="1:7">
      <c r="A235" s="7" t="s">
        <v>26</v>
      </c>
      <c r="B235" s="7" t="str">
        <f>"223410032203"</f>
        <v>223410032203</v>
      </c>
      <c r="C235" s="7">
        <v>113</v>
      </c>
      <c r="D235" s="7">
        <v>97</v>
      </c>
      <c r="E235" s="7">
        <f t="shared" si="8"/>
        <v>106.6</v>
      </c>
      <c r="F235" s="7"/>
      <c r="G235" s="7">
        <f t="shared" si="9"/>
        <v>106.6</v>
      </c>
    </row>
    <row r="236" spans="1:7">
      <c r="A236" s="7" t="s">
        <v>26</v>
      </c>
      <c r="B236" s="7" t="str">
        <f>"223410032504"</f>
        <v>223410032504</v>
      </c>
      <c r="C236" s="7">
        <v>99</v>
      </c>
      <c r="D236" s="7">
        <v>102</v>
      </c>
      <c r="E236" s="7">
        <f t="shared" si="8"/>
        <v>100.2</v>
      </c>
      <c r="F236" s="7"/>
      <c r="G236" s="7">
        <f t="shared" si="9"/>
        <v>100.2</v>
      </c>
    </row>
    <row r="237" spans="1:7">
      <c r="A237" s="7" t="s">
        <v>26</v>
      </c>
      <c r="B237" s="7" t="str">
        <f>"223410032409"</f>
        <v>223410032409</v>
      </c>
      <c r="C237" s="7">
        <v>96</v>
      </c>
      <c r="D237" s="7">
        <v>83</v>
      </c>
      <c r="E237" s="7">
        <f t="shared" si="8"/>
        <v>90.8</v>
      </c>
      <c r="F237" s="7"/>
      <c r="G237" s="7">
        <f t="shared" si="9"/>
        <v>90.8</v>
      </c>
    </row>
    <row r="238" spans="1:7">
      <c r="A238" s="7" t="s">
        <v>26</v>
      </c>
      <c r="B238" s="7" t="str">
        <f>"223410032115"</f>
        <v>223410032115</v>
      </c>
      <c r="C238" s="7">
        <v>89</v>
      </c>
      <c r="D238" s="7">
        <v>87</v>
      </c>
      <c r="E238" s="7">
        <f t="shared" si="8"/>
        <v>88.2</v>
      </c>
      <c r="F238" s="7"/>
      <c r="G238" s="7">
        <f t="shared" si="9"/>
        <v>88.2</v>
      </c>
    </row>
    <row r="239" spans="1:7">
      <c r="A239" s="7" t="s">
        <v>26</v>
      </c>
      <c r="B239" s="7" t="str">
        <f>"223410032506"</f>
        <v>223410032506</v>
      </c>
      <c r="C239" s="7">
        <v>82</v>
      </c>
      <c r="D239" s="7">
        <v>83</v>
      </c>
      <c r="E239" s="7">
        <f t="shared" si="8"/>
        <v>82.4</v>
      </c>
      <c r="F239" s="7"/>
      <c r="G239" s="7">
        <f t="shared" si="9"/>
        <v>82.4</v>
      </c>
    </row>
    <row r="240" spans="1:7">
      <c r="A240" s="7" t="s">
        <v>26</v>
      </c>
      <c r="B240" s="7" t="str">
        <f>"223410032310"</f>
        <v>223410032310</v>
      </c>
      <c r="C240" s="7">
        <v>81</v>
      </c>
      <c r="D240" s="7">
        <v>74</v>
      </c>
      <c r="E240" s="7">
        <f t="shared" si="8"/>
        <v>78.2</v>
      </c>
      <c r="F240" s="7"/>
      <c r="G240" s="7">
        <f t="shared" si="9"/>
        <v>78.2</v>
      </c>
    </row>
    <row r="241" spans="1:7">
      <c r="A241" s="7" t="s">
        <v>26</v>
      </c>
      <c r="B241" s="7" t="str">
        <f>"223410032105"</f>
        <v>223410032105</v>
      </c>
      <c r="C241" s="7">
        <v>80</v>
      </c>
      <c r="D241" s="7">
        <v>73</v>
      </c>
      <c r="E241" s="7">
        <f t="shared" si="8"/>
        <v>77.2</v>
      </c>
      <c r="F241" s="7"/>
      <c r="G241" s="7">
        <f t="shared" si="9"/>
        <v>77.2</v>
      </c>
    </row>
    <row r="242" spans="1:7">
      <c r="A242" s="7" t="s">
        <v>26</v>
      </c>
      <c r="B242" s="7" t="str">
        <f>"223410032209"</f>
        <v>223410032209</v>
      </c>
      <c r="C242" s="7">
        <v>79</v>
      </c>
      <c r="D242" s="7">
        <v>69</v>
      </c>
      <c r="E242" s="7">
        <f t="shared" si="8"/>
        <v>75</v>
      </c>
      <c r="F242" s="7"/>
      <c r="G242" s="7">
        <f t="shared" si="9"/>
        <v>75</v>
      </c>
    </row>
    <row r="243" spans="1:7">
      <c r="A243" s="7" t="s">
        <v>26</v>
      </c>
      <c r="B243" s="7" t="str">
        <f>"223410032423"</f>
        <v>223410032423</v>
      </c>
      <c r="C243" s="7">
        <v>68</v>
      </c>
      <c r="D243" s="7">
        <v>74</v>
      </c>
      <c r="E243" s="7">
        <f t="shared" si="8"/>
        <v>70.4</v>
      </c>
      <c r="F243" s="7"/>
      <c r="G243" s="7">
        <f t="shared" si="9"/>
        <v>70.4</v>
      </c>
    </row>
    <row r="244" spans="1:7">
      <c r="A244" s="7" t="s">
        <v>26</v>
      </c>
      <c r="B244" s="7" t="str">
        <f>"223410032215"</f>
        <v>223410032215</v>
      </c>
      <c r="C244" s="7">
        <v>54</v>
      </c>
      <c r="D244" s="7">
        <v>78</v>
      </c>
      <c r="E244" s="7">
        <f t="shared" si="8"/>
        <v>63.6</v>
      </c>
      <c r="F244" s="7"/>
      <c r="G244" s="7">
        <f t="shared" si="9"/>
        <v>63.6</v>
      </c>
    </row>
    <row r="245" spans="1:7">
      <c r="A245" s="7" t="s">
        <v>26</v>
      </c>
      <c r="B245" s="7" t="str">
        <f>"223410032513"</f>
        <v>223410032513</v>
      </c>
      <c r="C245" s="7">
        <v>67</v>
      </c>
      <c r="D245" s="7">
        <v>43</v>
      </c>
      <c r="E245" s="7">
        <f t="shared" si="8"/>
        <v>57.4</v>
      </c>
      <c r="F245" s="7"/>
      <c r="G245" s="7">
        <f t="shared" si="9"/>
        <v>57.4</v>
      </c>
    </row>
    <row r="246" spans="1:7">
      <c r="A246" s="7" t="s">
        <v>27</v>
      </c>
      <c r="B246" s="7" t="str">
        <f>"223410031204"</f>
        <v>223410031204</v>
      </c>
      <c r="C246" s="7" t="s">
        <v>9</v>
      </c>
      <c r="D246" s="7" t="s">
        <v>9</v>
      </c>
      <c r="E246" s="7" t="s">
        <v>9</v>
      </c>
      <c r="F246" s="7"/>
      <c r="G246" s="7" t="s">
        <v>9</v>
      </c>
    </row>
    <row r="247" spans="1:7">
      <c r="A247" s="7" t="s">
        <v>27</v>
      </c>
      <c r="B247" s="7" t="str">
        <f>"223410031205"</f>
        <v>223410031205</v>
      </c>
      <c r="C247" s="7" t="s">
        <v>9</v>
      </c>
      <c r="D247" s="7" t="s">
        <v>9</v>
      </c>
      <c r="E247" s="7" t="s">
        <v>9</v>
      </c>
      <c r="F247" s="7"/>
      <c r="G247" s="7" t="s">
        <v>9</v>
      </c>
    </row>
    <row r="248" spans="1:7">
      <c r="A248" s="7" t="s">
        <v>27</v>
      </c>
      <c r="B248" s="7" t="str">
        <f>"223410031210"</f>
        <v>223410031210</v>
      </c>
      <c r="C248" s="7" t="s">
        <v>9</v>
      </c>
      <c r="D248" s="7" t="s">
        <v>9</v>
      </c>
      <c r="E248" s="7" t="s">
        <v>9</v>
      </c>
      <c r="F248" s="7"/>
      <c r="G248" s="7" t="s">
        <v>9</v>
      </c>
    </row>
    <row r="249" spans="1:7">
      <c r="A249" s="7" t="s">
        <v>27</v>
      </c>
      <c r="B249" s="7" t="str">
        <f>"223410031212"</f>
        <v>223410031212</v>
      </c>
      <c r="C249" s="7" t="s">
        <v>9</v>
      </c>
      <c r="D249" s="7" t="s">
        <v>9</v>
      </c>
      <c r="E249" s="7" t="s">
        <v>9</v>
      </c>
      <c r="F249" s="7"/>
      <c r="G249" s="7" t="s">
        <v>9</v>
      </c>
    </row>
    <row r="250" spans="1:7">
      <c r="A250" s="7" t="s">
        <v>27</v>
      </c>
      <c r="B250" s="7" t="str">
        <f>"223410031214"</f>
        <v>223410031214</v>
      </c>
      <c r="C250" s="7">
        <v>97.5</v>
      </c>
      <c r="D250" s="7">
        <v>99</v>
      </c>
      <c r="E250" s="7">
        <f t="shared" si="8"/>
        <v>98.1</v>
      </c>
      <c r="F250" s="7"/>
      <c r="G250" s="7">
        <f t="shared" si="9"/>
        <v>98.1</v>
      </c>
    </row>
    <row r="251" spans="1:7">
      <c r="A251" s="7" t="s">
        <v>27</v>
      </c>
      <c r="B251" s="7" t="str">
        <f>"223410031215"</f>
        <v>223410031215</v>
      </c>
      <c r="C251" s="7">
        <v>96</v>
      </c>
      <c r="D251" s="7">
        <v>101</v>
      </c>
      <c r="E251" s="7">
        <f t="shared" si="8"/>
        <v>98</v>
      </c>
      <c r="F251" s="7"/>
      <c r="G251" s="7">
        <f t="shared" si="9"/>
        <v>98</v>
      </c>
    </row>
    <row r="252" spans="1:7">
      <c r="A252" s="7" t="s">
        <v>27</v>
      </c>
      <c r="B252" s="7" t="str">
        <f>"223410031209"</f>
        <v>223410031209</v>
      </c>
      <c r="C252" s="7">
        <v>81.5</v>
      </c>
      <c r="D252" s="7">
        <v>77</v>
      </c>
      <c r="E252" s="7">
        <f t="shared" si="8"/>
        <v>79.7</v>
      </c>
      <c r="F252" s="7"/>
      <c r="G252" s="7">
        <f t="shared" si="9"/>
        <v>79.7</v>
      </c>
    </row>
    <row r="253" spans="1:7">
      <c r="A253" s="7" t="s">
        <v>27</v>
      </c>
      <c r="B253" s="7" t="str">
        <f>"223410031211"</f>
        <v>223410031211</v>
      </c>
      <c r="C253" s="7">
        <v>86</v>
      </c>
      <c r="D253" s="7">
        <v>68</v>
      </c>
      <c r="E253" s="7">
        <f t="shared" si="8"/>
        <v>78.8</v>
      </c>
      <c r="F253" s="7"/>
      <c r="G253" s="7">
        <f t="shared" si="9"/>
        <v>78.8</v>
      </c>
    </row>
    <row r="254" spans="1:7">
      <c r="A254" s="7" t="s">
        <v>27</v>
      </c>
      <c r="B254" s="7" t="str">
        <f>"223410031201"</f>
        <v>223410031201</v>
      </c>
      <c r="C254" s="7">
        <v>78.5</v>
      </c>
      <c r="D254" s="7">
        <v>74</v>
      </c>
      <c r="E254" s="7">
        <f t="shared" si="8"/>
        <v>76.7</v>
      </c>
      <c r="F254" s="7"/>
      <c r="G254" s="7">
        <f t="shared" si="9"/>
        <v>76.7</v>
      </c>
    </row>
    <row r="255" spans="1:7">
      <c r="A255" s="7" t="s">
        <v>27</v>
      </c>
      <c r="B255" s="7" t="str">
        <f>"223410031208"</f>
        <v>223410031208</v>
      </c>
      <c r="C255" s="7">
        <v>73</v>
      </c>
      <c r="D255" s="7">
        <v>77</v>
      </c>
      <c r="E255" s="7">
        <f t="shared" si="8"/>
        <v>74.6</v>
      </c>
      <c r="F255" s="7"/>
      <c r="G255" s="7">
        <f t="shared" si="9"/>
        <v>74.6</v>
      </c>
    </row>
    <row r="256" spans="1:7">
      <c r="A256" s="7" t="s">
        <v>27</v>
      </c>
      <c r="B256" s="7" t="str">
        <f>"223410031202"</f>
        <v>223410031202</v>
      </c>
      <c r="C256" s="7">
        <v>75</v>
      </c>
      <c r="D256" s="7">
        <v>72</v>
      </c>
      <c r="E256" s="7">
        <f t="shared" si="8"/>
        <v>73.8</v>
      </c>
      <c r="F256" s="7"/>
      <c r="G256" s="7">
        <f t="shared" si="9"/>
        <v>73.8</v>
      </c>
    </row>
    <row r="257" spans="1:7">
      <c r="A257" s="7" t="s">
        <v>27</v>
      </c>
      <c r="B257" s="7" t="str">
        <f>"223410031216"</f>
        <v>223410031216</v>
      </c>
      <c r="C257" s="7">
        <v>72</v>
      </c>
      <c r="D257" s="7">
        <v>76</v>
      </c>
      <c r="E257" s="7">
        <f t="shared" si="8"/>
        <v>73.6</v>
      </c>
      <c r="F257" s="7"/>
      <c r="G257" s="7">
        <f t="shared" si="9"/>
        <v>73.6</v>
      </c>
    </row>
    <row r="258" spans="1:7">
      <c r="A258" s="7" t="s">
        <v>27</v>
      </c>
      <c r="B258" s="7" t="str">
        <f>"223410031207"</f>
        <v>223410031207</v>
      </c>
      <c r="C258" s="7">
        <v>76.5</v>
      </c>
      <c r="D258" s="7">
        <v>66</v>
      </c>
      <c r="E258" s="7">
        <f t="shared" si="8"/>
        <v>72.3</v>
      </c>
      <c r="F258" s="7"/>
      <c r="G258" s="7">
        <f t="shared" si="9"/>
        <v>72.3</v>
      </c>
    </row>
    <row r="259" spans="1:7">
      <c r="A259" s="7" t="s">
        <v>27</v>
      </c>
      <c r="B259" s="7" t="str">
        <f>"223410031213"</f>
        <v>223410031213</v>
      </c>
      <c r="C259" s="7">
        <v>77</v>
      </c>
      <c r="D259" s="7">
        <v>65</v>
      </c>
      <c r="E259" s="7">
        <f t="shared" ref="E259:E322" si="10">C259*0.6+D259*0.4</f>
        <v>72.2</v>
      </c>
      <c r="F259" s="7"/>
      <c r="G259" s="7">
        <f t="shared" si="9"/>
        <v>72.2</v>
      </c>
    </row>
    <row r="260" spans="1:7">
      <c r="A260" s="7" t="s">
        <v>27</v>
      </c>
      <c r="B260" s="7" t="str">
        <f>"223410031217"</f>
        <v>223410031217</v>
      </c>
      <c r="C260" s="7">
        <v>70.5</v>
      </c>
      <c r="D260" s="7">
        <v>71</v>
      </c>
      <c r="E260" s="7">
        <f t="shared" si="10"/>
        <v>70.7</v>
      </c>
      <c r="F260" s="7"/>
      <c r="G260" s="7">
        <f t="shared" si="9"/>
        <v>70.7</v>
      </c>
    </row>
    <row r="261" spans="1:7">
      <c r="A261" s="7" t="s">
        <v>27</v>
      </c>
      <c r="B261" s="7" t="str">
        <f>"223410031206"</f>
        <v>223410031206</v>
      </c>
      <c r="C261" s="7">
        <v>71</v>
      </c>
      <c r="D261" s="7">
        <v>70</v>
      </c>
      <c r="E261" s="7">
        <f t="shared" si="10"/>
        <v>70.6</v>
      </c>
      <c r="F261" s="7"/>
      <c r="G261" s="7">
        <f t="shared" si="9"/>
        <v>70.6</v>
      </c>
    </row>
    <row r="262" spans="1:7">
      <c r="A262" s="7" t="s">
        <v>27</v>
      </c>
      <c r="B262" s="7" t="str">
        <f>"223410031203"</f>
        <v>223410031203</v>
      </c>
      <c r="C262" s="7">
        <v>65.5</v>
      </c>
      <c r="D262" s="7">
        <v>70</v>
      </c>
      <c r="E262" s="7">
        <f t="shared" si="10"/>
        <v>67.3</v>
      </c>
      <c r="F262" s="7"/>
      <c r="G262" s="7">
        <f t="shared" ref="G262:G325" si="11">E262+F262</f>
        <v>67.3</v>
      </c>
    </row>
    <row r="263" spans="1:7">
      <c r="A263" s="7" t="s">
        <v>28</v>
      </c>
      <c r="B263" s="7" t="str">
        <f>"223410020106"</f>
        <v>223410020106</v>
      </c>
      <c r="C263" s="7" t="s">
        <v>9</v>
      </c>
      <c r="D263" s="7" t="s">
        <v>9</v>
      </c>
      <c r="E263" s="7" t="s">
        <v>9</v>
      </c>
      <c r="F263" s="7"/>
      <c r="G263" s="7" t="s">
        <v>9</v>
      </c>
    </row>
    <row r="264" spans="1:7">
      <c r="A264" s="7" t="s">
        <v>28</v>
      </c>
      <c r="B264" s="7" t="str">
        <f>"223410020113"</f>
        <v>223410020113</v>
      </c>
      <c r="C264" s="7" t="s">
        <v>9</v>
      </c>
      <c r="D264" s="7" t="s">
        <v>9</v>
      </c>
      <c r="E264" s="7" t="s">
        <v>9</v>
      </c>
      <c r="F264" s="7"/>
      <c r="G264" s="7" t="s">
        <v>9</v>
      </c>
    </row>
    <row r="265" spans="1:7">
      <c r="A265" s="7" t="s">
        <v>28</v>
      </c>
      <c r="B265" s="7" t="str">
        <f>"223410020121"</f>
        <v>223410020121</v>
      </c>
      <c r="C265" s="7" t="s">
        <v>9</v>
      </c>
      <c r="D265" s="7" t="s">
        <v>9</v>
      </c>
      <c r="E265" s="7" t="s">
        <v>9</v>
      </c>
      <c r="F265" s="7"/>
      <c r="G265" s="7" t="s">
        <v>9</v>
      </c>
    </row>
    <row r="266" spans="1:7">
      <c r="A266" s="7" t="s">
        <v>28</v>
      </c>
      <c r="B266" s="7" t="str">
        <f>"223410020127"</f>
        <v>223410020127</v>
      </c>
      <c r="C266" s="7">
        <v>104.5</v>
      </c>
      <c r="D266" s="7">
        <v>84</v>
      </c>
      <c r="E266" s="7">
        <f t="shared" si="10"/>
        <v>96.3</v>
      </c>
      <c r="F266" s="7"/>
      <c r="G266" s="7">
        <f t="shared" si="11"/>
        <v>96.3</v>
      </c>
    </row>
    <row r="267" spans="1:7">
      <c r="A267" s="7" t="s">
        <v>28</v>
      </c>
      <c r="B267" s="7" t="str">
        <f>"223410020109"</f>
        <v>223410020109</v>
      </c>
      <c r="C267" s="7">
        <v>91</v>
      </c>
      <c r="D267" s="7">
        <v>76</v>
      </c>
      <c r="E267" s="7">
        <f t="shared" si="10"/>
        <v>85</v>
      </c>
      <c r="F267" s="7"/>
      <c r="G267" s="7">
        <f t="shared" si="11"/>
        <v>85</v>
      </c>
    </row>
    <row r="268" spans="1:7">
      <c r="A268" s="7" t="s">
        <v>28</v>
      </c>
      <c r="B268" s="7" t="str">
        <f>"223410020107"</f>
        <v>223410020107</v>
      </c>
      <c r="C268" s="7">
        <v>91</v>
      </c>
      <c r="D268" s="7">
        <v>69</v>
      </c>
      <c r="E268" s="7">
        <f t="shared" si="10"/>
        <v>82.2</v>
      </c>
      <c r="F268" s="7"/>
      <c r="G268" s="7">
        <f t="shared" si="11"/>
        <v>82.2</v>
      </c>
    </row>
    <row r="269" spans="1:7">
      <c r="A269" s="7" t="s">
        <v>28</v>
      </c>
      <c r="B269" s="7" t="str">
        <f>"223410020129"</f>
        <v>223410020129</v>
      </c>
      <c r="C269" s="7">
        <v>85</v>
      </c>
      <c r="D269" s="7">
        <v>66</v>
      </c>
      <c r="E269" s="7">
        <f t="shared" si="10"/>
        <v>77.4</v>
      </c>
      <c r="F269" s="7"/>
      <c r="G269" s="7">
        <f t="shared" si="11"/>
        <v>77.4</v>
      </c>
    </row>
    <row r="270" spans="1:7">
      <c r="A270" s="7" t="s">
        <v>28</v>
      </c>
      <c r="B270" s="7" t="str">
        <f>"223410020101"</f>
        <v>223410020101</v>
      </c>
      <c r="C270" s="7">
        <v>78</v>
      </c>
      <c r="D270" s="7">
        <v>57</v>
      </c>
      <c r="E270" s="7">
        <f t="shared" si="10"/>
        <v>69.6</v>
      </c>
      <c r="F270" s="7"/>
      <c r="G270" s="7">
        <f t="shared" si="11"/>
        <v>69.6</v>
      </c>
    </row>
    <row r="271" spans="1:7">
      <c r="A271" s="7" t="s">
        <v>29</v>
      </c>
      <c r="B271" s="7" t="str">
        <f>"223410021426"</f>
        <v>223410021426</v>
      </c>
      <c r="C271" s="7" t="s">
        <v>9</v>
      </c>
      <c r="D271" s="7" t="s">
        <v>9</v>
      </c>
      <c r="E271" s="7" t="s">
        <v>9</v>
      </c>
      <c r="F271" s="7"/>
      <c r="G271" s="7" t="s">
        <v>9</v>
      </c>
    </row>
    <row r="272" spans="1:7">
      <c r="A272" s="7" t="s">
        <v>29</v>
      </c>
      <c r="B272" s="7" t="str">
        <f>"223410022220"</f>
        <v>223410022220</v>
      </c>
      <c r="C272" s="7" t="s">
        <v>9</v>
      </c>
      <c r="D272" s="7" t="s">
        <v>9</v>
      </c>
      <c r="E272" s="7" t="s">
        <v>9</v>
      </c>
      <c r="F272" s="7"/>
      <c r="G272" s="7" t="s">
        <v>9</v>
      </c>
    </row>
    <row r="273" spans="1:7">
      <c r="A273" s="7" t="s">
        <v>29</v>
      </c>
      <c r="B273" s="7" t="str">
        <f>"223410021506"</f>
        <v>223410021506</v>
      </c>
      <c r="C273" s="7">
        <v>92.5</v>
      </c>
      <c r="D273" s="7">
        <v>82.5</v>
      </c>
      <c r="E273" s="7">
        <f t="shared" si="10"/>
        <v>88.5</v>
      </c>
      <c r="F273" s="7"/>
      <c r="G273" s="7">
        <f t="shared" si="11"/>
        <v>88.5</v>
      </c>
    </row>
    <row r="274" spans="1:7">
      <c r="A274" s="7" t="s">
        <v>29</v>
      </c>
      <c r="B274" s="7" t="str">
        <f>"223410021301"</f>
        <v>223410021301</v>
      </c>
      <c r="C274" s="7">
        <v>92</v>
      </c>
      <c r="D274" s="7">
        <v>76.5</v>
      </c>
      <c r="E274" s="7">
        <f t="shared" si="10"/>
        <v>85.8</v>
      </c>
      <c r="F274" s="7"/>
      <c r="G274" s="7">
        <f t="shared" si="11"/>
        <v>85.8</v>
      </c>
    </row>
    <row r="275" spans="1:7">
      <c r="A275" s="7" t="s">
        <v>29</v>
      </c>
      <c r="B275" s="7" t="str">
        <f>"223410021817"</f>
        <v>223410021817</v>
      </c>
      <c r="C275" s="7">
        <v>91.5</v>
      </c>
      <c r="D275" s="7">
        <v>55</v>
      </c>
      <c r="E275" s="7">
        <f t="shared" si="10"/>
        <v>76.9</v>
      </c>
      <c r="F275" s="7"/>
      <c r="G275" s="7">
        <f t="shared" si="11"/>
        <v>76.9</v>
      </c>
    </row>
    <row r="276" spans="1:7">
      <c r="A276" s="7" t="s">
        <v>29</v>
      </c>
      <c r="B276" s="7" t="str">
        <f>"223410020927"</f>
        <v>223410020927</v>
      </c>
      <c r="C276" s="7">
        <v>81.5</v>
      </c>
      <c r="D276" s="7">
        <v>65</v>
      </c>
      <c r="E276" s="7">
        <f t="shared" si="10"/>
        <v>74.9</v>
      </c>
      <c r="F276" s="7"/>
      <c r="G276" s="7">
        <f t="shared" si="11"/>
        <v>74.9</v>
      </c>
    </row>
    <row r="277" spans="1:7">
      <c r="A277" s="7" t="s">
        <v>29</v>
      </c>
      <c r="B277" s="7" t="str">
        <f>"223410021909"</f>
        <v>223410021909</v>
      </c>
      <c r="C277" s="7">
        <v>86.5</v>
      </c>
      <c r="D277" s="7">
        <v>54</v>
      </c>
      <c r="E277" s="7">
        <f t="shared" si="10"/>
        <v>73.5</v>
      </c>
      <c r="F277" s="7"/>
      <c r="G277" s="7">
        <f t="shared" si="11"/>
        <v>73.5</v>
      </c>
    </row>
    <row r="278" spans="1:7">
      <c r="A278" s="7" t="s">
        <v>29</v>
      </c>
      <c r="B278" s="7" t="str">
        <f>"223410021907"</f>
        <v>223410021907</v>
      </c>
      <c r="C278" s="7">
        <v>66.5</v>
      </c>
      <c r="D278" s="7">
        <v>47</v>
      </c>
      <c r="E278" s="7">
        <f t="shared" si="10"/>
        <v>58.7</v>
      </c>
      <c r="F278" s="7"/>
      <c r="G278" s="7">
        <f t="shared" si="11"/>
        <v>58.7</v>
      </c>
    </row>
    <row r="279" spans="1:7">
      <c r="A279" s="7" t="s">
        <v>30</v>
      </c>
      <c r="B279" s="7" t="str">
        <f>"223410010107"</f>
        <v>223410010107</v>
      </c>
      <c r="C279" s="7" t="s">
        <v>9</v>
      </c>
      <c r="D279" s="7" t="s">
        <v>9</v>
      </c>
      <c r="E279" s="7" t="s">
        <v>9</v>
      </c>
      <c r="F279" s="7"/>
      <c r="G279" s="7" t="s">
        <v>9</v>
      </c>
    </row>
    <row r="280" spans="1:7">
      <c r="A280" s="7" t="s">
        <v>30</v>
      </c>
      <c r="B280" s="7" t="str">
        <f>"223410013202"</f>
        <v>223410013202</v>
      </c>
      <c r="C280" s="7" t="s">
        <v>9</v>
      </c>
      <c r="D280" s="7" t="s">
        <v>9</v>
      </c>
      <c r="E280" s="7" t="s">
        <v>9</v>
      </c>
      <c r="F280" s="7"/>
      <c r="G280" s="7" t="s">
        <v>9</v>
      </c>
    </row>
    <row r="281" spans="1:7">
      <c r="A281" s="7" t="s">
        <v>30</v>
      </c>
      <c r="B281" s="7" t="str">
        <f>"223410013307"</f>
        <v>223410013307</v>
      </c>
      <c r="C281" s="7">
        <v>90</v>
      </c>
      <c r="D281" s="7">
        <v>83</v>
      </c>
      <c r="E281" s="7">
        <f t="shared" si="10"/>
        <v>87.2</v>
      </c>
      <c r="F281" s="7"/>
      <c r="G281" s="7">
        <f t="shared" si="11"/>
        <v>87.2</v>
      </c>
    </row>
    <row r="282" spans="1:7">
      <c r="A282" s="7" t="s">
        <v>30</v>
      </c>
      <c r="B282" s="7" t="str">
        <f>"223410013405"</f>
        <v>223410013405</v>
      </c>
      <c r="C282" s="7">
        <v>85</v>
      </c>
      <c r="D282" s="7">
        <v>80.5</v>
      </c>
      <c r="E282" s="7">
        <f t="shared" si="10"/>
        <v>83.2</v>
      </c>
      <c r="F282" s="7"/>
      <c r="G282" s="7">
        <f t="shared" si="11"/>
        <v>83.2</v>
      </c>
    </row>
    <row r="283" spans="1:7">
      <c r="A283" s="7" t="s">
        <v>30</v>
      </c>
      <c r="B283" s="7" t="str">
        <f>"223410012010"</f>
        <v>223410012010</v>
      </c>
      <c r="C283" s="7">
        <v>88</v>
      </c>
      <c r="D283" s="7">
        <v>68.5</v>
      </c>
      <c r="E283" s="7">
        <f t="shared" si="10"/>
        <v>80.2</v>
      </c>
      <c r="F283" s="7"/>
      <c r="G283" s="7">
        <f t="shared" si="11"/>
        <v>80.2</v>
      </c>
    </row>
    <row r="284" spans="1:7">
      <c r="A284" s="7" t="s">
        <v>30</v>
      </c>
      <c r="B284" s="7" t="str">
        <f>"223410011811"</f>
        <v>223410011811</v>
      </c>
      <c r="C284" s="7">
        <v>80</v>
      </c>
      <c r="D284" s="7">
        <v>79.5</v>
      </c>
      <c r="E284" s="7">
        <f t="shared" si="10"/>
        <v>79.8</v>
      </c>
      <c r="F284" s="7"/>
      <c r="G284" s="7">
        <f t="shared" si="11"/>
        <v>79.8</v>
      </c>
    </row>
    <row r="285" spans="1:7">
      <c r="A285" s="7" t="s">
        <v>30</v>
      </c>
      <c r="B285" s="7" t="str">
        <f>"223410012428"</f>
        <v>223410012428</v>
      </c>
      <c r="C285" s="7">
        <v>85</v>
      </c>
      <c r="D285" s="7">
        <v>66</v>
      </c>
      <c r="E285" s="7">
        <f t="shared" si="10"/>
        <v>77.4</v>
      </c>
      <c r="F285" s="7"/>
      <c r="G285" s="7">
        <f t="shared" si="11"/>
        <v>77.4</v>
      </c>
    </row>
    <row r="286" spans="1:7">
      <c r="A286" s="7" t="s">
        <v>31</v>
      </c>
      <c r="B286" s="7" t="str">
        <f>"223410032612"</f>
        <v>223410032612</v>
      </c>
      <c r="C286" s="7" t="s">
        <v>9</v>
      </c>
      <c r="D286" s="7" t="s">
        <v>9</v>
      </c>
      <c r="E286" s="7" t="s">
        <v>9</v>
      </c>
      <c r="F286" s="7"/>
      <c r="G286" s="7" t="s">
        <v>9</v>
      </c>
    </row>
    <row r="287" spans="1:7">
      <c r="A287" s="7" t="s">
        <v>31</v>
      </c>
      <c r="B287" s="7" t="str">
        <f>"223410032618"</f>
        <v>223410032618</v>
      </c>
      <c r="C287" s="7" t="s">
        <v>9</v>
      </c>
      <c r="D287" s="7" t="s">
        <v>9</v>
      </c>
      <c r="E287" s="7" t="s">
        <v>9</v>
      </c>
      <c r="F287" s="7"/>
      <c r="G287" s="7" t="s">
        <v>9</v>
      </c>
    </row>
    <row r="288" spans="1:7">
      <c r="A288" s="7" t="s">
        <v>31</v>
      </c>
      <c r="B288" s="7" t="str">
        <f>"223410032706"</f>
        <v>223410032706</v>
      </c>
      <c r="C288" s="7" t="s">
        <v>9</v>
      </c>
      <c r="D288" s="7" t="s">
        <v>9</v>
      </c>
      <c r="E288" s="7" t="s">
        <v>9</v>
      </c>
      <c r="F288" s="7"/>
      <c r="G288" s="7" t="s">
        <v>9</v>
      </c>
    </row>
    <row r="289" spans="1:7">
      <c r="A289" s="7" t="s">
        <v>31</v>
      </c>
      <c r="B289" s="7" t="str">
        <f>"223410032720"</f>
        <v>223410032720</v>
      </c>
      <c r="C289" s="7" t="s">
        <v>9</v>
      </c>
      <c r="D289" s="7" t="s">
        <v>9</v>
      </c>
      <c r="E289" s="7" t="s">
        <v>9</v>
      </c>
      <c r="F289" s="7"/>
      <c r="G289" s="7" t="s">
        <v>9</v>
      </c>
    </row>
    <row r="290" spans="1:7">
      <c r="A290" s="7" t="s">
        <v>31</v>
      </c>
      <c r="B290" s="7" t="str">
        <f>"223410032725"</f>
        <v>223410032725</v>
      </c>
      <c r="C290" s="7" t="s">
        <v>9</v>
      </c>
      <c r="D290" s="7" t="s">
        <v>9</v>
      </c>
      <c r="E290" s="7" t="s">
        <v>9</v>
      </c>
      <c r="F290" s="7"/>
      <c r="G290" s="7" t="s">
        <v>9</v>
      </c>
    </row>
    <row r="291" spans="1:7">
      <c r="A291" s="7" t="s">
        <v>31</v>
      </c>
      <c r="B291" s="7" t="str">
        <f>"223410033106"</f>
        <v>223410033106</v>
      </c>
      <c r="C291" s="7" t="s">
        <v>9</v>
      </c>
      <c r="D291" s="7" t="s">
        <v>9</v>
      </c>
      <c r="E291" s="7" t="s">
        <v>9</v>
      </c>
      <c r="F291" s="7"/>
      <c r="G291" s="7" t="s">
        <v>9</v>
      </c>
    </row>
    <row r="292" spans="1:7">
      <c r="A292" s="7" t="s">
        <v>31</v>
      </c>
      <c r="B292" s="7" t="str">
        <f>"223410033212"</f>
        <v>223410033212</v>
      </c>
      <c r="C292" s="7" t="s">
        <v>9</v>
      </c>
      <c r="D292" s="7" t="s">
        <v>9</v>
      </c>
      <c r="E292" s="7" t="s">
        <v>9</v>
      </c>
      <c r="F292" s="7"/>
      <c r="G292" s="7" t="s">
        <v>9</v>
      </c>
    </row>
    <row r="293" spans="1:7">
      <c r="A293" s="7" t="s">
        <v>31</v>
      </c>
      <c r="B293" s="7" t="str">
        <f>"223410033215"</f>
        <v>223410033215</v>
      </c>
      <c r="C293" s="7" t="s">
        <v>9</v>
      </c>
      <c r="D293" s="7" t="s">
        <v>9</v>
      </c>
      <c r="E293" s="7" t="s">
        <v>9</v>
      </c>
      <c r="F293" s="7"/>
      <c r="G293" s="7" t="s">
        <v>9</v>
      </c>
    </row>
    <row r="294" spans="1:7">
      <c r="A294" s="7" t="s">
        <v>31</v>
      </c>
      <c r="B294" s="7" t="str">
        <f>"223410033219"</f>
        <v>223410033219</v>
      </c>
      <c r="C294" s="7" t="s">
        <v>9</v>
      </c>
      <c r="D294" s="7" t="s">
        <v>9</v>
      </c>
      <c r="E294" s="7" t="s">
        <v>9</v>
      </c>
      <c r="F294" s="7"/>
      <c r="G294" s="7" t="s">
        <v>9</v>
      </c>
    </row>
    <row r="295" spans="1:7">
      <c r="A295" s="7" t="s">
        <v>31</v>
      </c>
      <c r="B295" s="7" t="str">
        <f>"223410033220"</f>
        <v>223410033220</v>
      </c>
      <c r="C295" s="7" t="s">
        <v>9</v>
      </c>
      <c r="D295" s="7" t="s">
        <v>9</v>
      </c>
      <c r="E295" s="7" t="s">
        <v>9</v>
      </c>
      <c r="F295" s="7"/>
      <c r="G295" s="7" t="s">
        <v>9</v>
      </c>
    </row>
    <row r="296" spans="1:7">
      <c r="A296" s="7" t="s">
        <v>31</v>
      </c>
      <c r="B296" s="7" t="str">
        <f>"223410032917"</f>
        <v>223410032917</v>
      </c>
      <c r="C296" s="7">
        <v>97</v>
      </c>
      <c r="D296" s="7">
        <v>96</v>
      </c>
      <c r="E296" s="7">
        <f t="shared" si="10"/>
        <v>96.6</v>
      </c>
      <c r="F296" s="7">
        <v>2</v>
      </c>
      <c r="G296" s="7">
        <f t="shared" si="11"/>
        <v>98.6</v>
      </c>
    </row>
    <row r="297" spans="1:7">
      <c r="A297" s="7" t="s">
        <v>31</v>
      </c>
      <c r="B297" s="7" t="str">
        <f>"223410032921"</f>
        <v>223410032921</v>
      </c>
      <c r="C297" s="7">
        <v>102.5</v>
      </c>
      <c r="D297" s="7">
        <v>91</v>
      </c>
      <c r="E297" s="7">
        <f t="shared" si="10"/>
        <v>97.9</v>
      </c>
      <c r="F297" s="7"/>
      <c r="G297" s="7">
        <f t="shared" si="11"/>
        <v>97.9</v>
      </c>
    </row>
    <row r="298" spans="1:7">
      <c r="A298" s="7" t="s">
        <v>31</v>
      </c>
      <c r="B298" s="7" t="str">
        <f>"223410032823"</f>
        <v>223410032823</v>
      </c>
      <c r="C298" s="7">
        <v>94</v>
      </c>
      <c r="D298" s="7">
        <v>100</v>
      </c>
      <c r="E298" s="7">
        <f t="shared" si="10"/>
        <v>96.4</v>
      </c>
      <c r="F298" s="7"/>
      <c r="G298" s="7">
        <f t="shared" si="11"/>
        <v>96.4</v>
      </c>
    </row>
    <row r="299" spans="1:7">
      <c r="A299" s="7" t="s">
        <v>31</v>
      </c>
      <c r="B299" s="7" t="str">
        <f>"223410032906"</f>
        <v>223410032906</v>
      </c>
      <c r="C299" s="7">
        <v>96</v>
      </c>
      <c r="D299" s="7">
        <v>84</v>
      </c>
      <c r="E299" s="7">
        <f t="shared" si="10"/>
        <v>91.2</v>
      </c>
      <c r="F299" s="7"/>
      <c r="G299" s="7">
        <f t="shared" si="11"/>
        <v>91.2</v>
      </c>
    </row>
    <row r="300" spans="1:7">
      <c r="A300" s="7" t="s">
        <v>31</v>
      </c>
      <c r="B300" s="7" t="str">
        <f>"223410032729"</f>
        <v>223410032729</v>
      </c>
      <c r="C300" s="7">
        <v>95</v>
      </c>
      <c r="D300" s="7">
        <v>81</v>
      </c>
      <c r="E300" s="7">
        <f t="shared" si="10"/>
        <v>89.4</v>
      </c>
      <c r="F300" s="7"/>
      <c r="G300" s="7">
        <f t="shared" si="11"/>
        <v>89.4</v>
      </c>
    </row>
    <row r="301" spans="1:7">
      <c r="A301" s="7" t="s">
        <v>31</v>
      </c>
      <c r="B301" s="7" t="str">
        <f>"223410033206"</f>
        <v>223410033206</v>
      </c>
      <c r="C301" s="7">
        <v>94</v>
      </c>
      <c r="D301" s="7">
        <v>81</v>
      </c>
      <c r="E301" s="7">
        <f t="shared" si="10"/>
        <v>88.8</v>
      </c>
      <c r="F301" s="7"/>
      <c r="G301" s="7">
        <f t="shared" si="11"/>
        <v>88.8</v>
      </c>
    </row>
    <row r="302" spans="1:7">
      <c r="A302" s="7" t="s">
        <v>31</v>
      </c>
      <c r="B302" s="7" t="str">
        <f>"223410032702"</f>
        <v>223410032702</v>
      </c>
      <c r="C302" s="7">
        <v>96.5</v>
      </c>
      <c r="D302" s="7">
        <v>75</v>
      </c>
      <c r="E302" s="7">
        <f t="shared" si="10"/>
        <v>87.9</v>
      </c>
      <c r="F302" s="7"/>
      <c r="G302" s="7">
        <f t="shared" si="11"/>
        <v>87.9</v>
      </c>
    </row>
    <row r="303" spans="1:7">
      <c r="A303" s="7" t="s">
        <v>31</v>
      </c>
      <c r="B303" s="7" t="str">
        <f>"223410032611"</f>
        <v>223410032611</v>
      </c>
      <c r="C303" s="7">
        <v>92.5</v>
      </c>
      <c r="D303" s="7">
        <v>80</v>
      </c>
      <c r="E303" s="7">
        <f t="shared" si="10"/>
        <v>87.5</v>
      </c>
      <c r="F303" s="7"/>
      <c r="G303" s="7">
        <f t="shared" si="11"/>
        <v>87.5</v>
      </c>
    </row>
    <row r="304" spans="1:7">
      <c r="A304" s="7" t="s">
        <v>31</v>
      </c>
      <c r="B304" s="7" t="str">
        <f>"223410033115"</f>
        <v>223410033115</v>
      </c>
      <c r="C304" s="7">
        <v>93.5</v>
      </c>
      <c r="D304" s="7">
        <v>78</v>
      </c>
      <c r="E304" s="7">
        <f t="shared" si="10"/>
        <v>87.3</v>
      </c>
      <c r="F304" s="7"/>
      <c r="G304" s="7">
        <f t="shared" si="11"/>
        <v>87.3</v>
      </c>
    </row>
    <row r="305" spans="1:7">
      <c r="A305" s="7" t="s">
        <v>31</v>
      </c>
      <c r="B305" s="7" t="str">
        <f>"223410032624"</f>
        <v>223410032624</v>
      </c>
      <c r="C305" s="7">
        <v>96.5</v>
      </c>
      <c r="D305" s="7">
        <v>71</v>
      </c>
      <c r="E305" s="7">
        <f t="shared" si="10"/>
        <v>86.3</v>
      </c>
      <c r="F305" s="7"/>
      <c r="G305" s="7">
        <f t="shared" si="11"/>
        <v>86.3</v>
      </c>
    </row>
    <row r="306" spans="1:7">
      <c r="A306" s="7" t="s">
        <v>31</v>
      </c>
      <c r="B306" s="7" t="str">
        <f>"223410032816"</f>
        <v>223410032816</v>
      </c>
      <c r="C306" s="7">
        <v>93</v>
      </c>
      <c r="D306" s="7">
        <v>73</v>
      </c>
      <c r="E306" s="7">
        <f t="shared" si="10"/>
        <v>85</v>
      </c>
      <c r="F306" s="7"/>
      <c r="G306" s="7">
        <f t="shared" si="11"/>
        <v>85</v>
      </c>
    </row>
    <row r="307" spans="1:7">
      <c r="A307" s="7" t="s">
        <v>31</v>
      </c>
      <c r="B307" s="7" t="str">
        <f>"223410033016"</f>
        <v>223410033016</v>
      </c>
      <c r="C307" s="7">
        <v>89</v>
      </c>
      <c r="D307" s="7">
        <v>73</v>
      </c>
      <c r="E307" s="7">
        <f t="shared" si="10"/>
        <v>82.6</v>
      </c>
      <c r="F307" s="7"/>
      <c r="G307" s="7">
        <f t="shared" si="11"/>
        <v>82.6</v>
      </c>
    </row>
    <row r="308" spans="1:7">
      <c r="A308" s="7" t="s">
        <v>31</v>
      </c>
      <c r="B308" s="7" t="str">
        <f>"223410032716"</f>
        <v>223410032716</v>
      </c>
      <c r="C308" s="7">
        <v>84</v>
      </c>
      <c r="D308" s="7">
        <v>79</v>
      </c>
      <c r="E308" s="7">
        <f t="shared" si="10"/>
        <v>82</v>
      </c>
      <c r="F308" s="7"/>
      <c r="G308" s="7">
        <f t="shared" si="11"/>
        <v>82</v>
      </c>
    </row>
    <row r="309" spans="1:7">
      <c r="A309" s="7" t="s">
        <v>31</v>
      </c>
      <c r="B309" s="7" t="str">
        <f>"223410032626"</f>
        <v>223410032626</v>
      </c>
      <c r="C309" s="7">
        <v>96</v>
      </c>
      <c r="D309" s="7">
        <v>60</v>
      </c>
      <c r="E309" s="7">
        <f t="shared" si="10"/>
        <v>81.6</v>
      </c>
      <c r="F309" s="7"/>
      <c r="G309" s="7">
        <f t="shared" si="11"/>
        <v>81.6</v>
      </c>
    </row>
    <row r="310" spans="1:7">
      <c r="A310" s="7" t="s">
        <v>31</v>
      </c>
      <c r="B310" s="7" t="str">
        <f>"223410032926"</f>
        <v>223410032926</v>
      </c>
      <c r="C310" s="7">
        <v>86</v>
      </c>
      <c r="D310" s="7">
        <v>73</v>
      </c>
      <c r="E310" s="7">
        <f t="shared" si="10"/>
        <v>80.8</v>
      </c>
      <c r="F310" s="7"/>
      <c r="G310" s="7">
        <f t="shared" si="11"/>
        <v>80.8</v>
      </c>
    </row>
    <row r="311" spans="1:7">
      <c r="A311" s="7" t="s">
        <v>31</v>
      </c>
      <c r="B311" s="7" t="str">
        <f>"223410033029"</f>
        <v>223410033029</v>
      </c>
      <c r="C311" s="7">
        <v>92.5</v>
      </c>
      <c r="D311" s="7">
        <v>63</v>
      </c>
      <c r="E311" s="7">
        <f t="shared" si="10"/>
        <v>80.7</v>
      </c>
      <c r="F311" s="7"/>
      <c r="G311" s="7">
        <f t="shared" si="11"/>
        <v>80.7</v>
      </c>
    </row>
    <row r="312" spans="1:7">
      <c r="A312" s="7" t="s">
        <v>31</v>
      </c>
      <c r="B312" s="7" t="str">
        <f>"223410032910"</f>
        <v>223410032910</v>
      </c>
      <c r="C312" s="7">
        <v>80.5</v>
      </c>
      <c r="D312" s="7">
        <v>77</v>
      </c>
      <c r="E312" s="7">
        <f t="shared" si="10"/>
        <v>79.1</v>
      </c>
      <c r="F312" s="7"/>
      <c r="G312" s="7">
        <f t="shared" si="11"/>
        <v>79.1</v>
      </c>
    </row>
    <row r="313" spans="1:7">
      <c r="A313" s="7" t="s">
        <v>31</v>
      </c>
      <c r="B313" s="7" t="str">
        <f>"223410032901"</f>
        <v>223410032901</v>
      </c>
      <c r="C313" s="7">
        <v>67</v>
      </c>
      <c r="D313" s="7">
        <v>69</v>
      </c>
      <c r="E313" s="7">
        <f t="shared" si="10"/>
        <v>67.8</v>
      </c>
      <c r="F313" s="7"/>
      <c r="G313" s="7">
        <f t="shared" si="11"/>
        <v>67.8</v>
      </c>
    </row>
    <row r="314" spans="1:7">
      <c r="A314" s="7" t="s">
        <v>31</v>
      </c>
      <c r="B314" s="7" t="str">
        <f>"223410033004"</f>
        <v>223410033004</v>
      </c>
      <c r="C314" s="7">
        <v>69</v>
      </c>
      <c r="D314" s="7">
        <v>41</v>
      </c>
      <c r="E314" s="7">
        <f t="shared" si="10"/>
        <v>57.8</v>
      </c>
      <c r="F314" s="7"/>
      <c r="G314" s="7">
        <f t="shared" si="11"/>
        <v>57.8</v>
      </c>
    </row>
    <row r="315" spans="1:7">
      <c r="A315" s="7" t="s">
        <v>32</v>
      </c>
      <c r="B315" s="7" t="str">
        <f>"223410022618"</f>
        <v>223410022618</v>
      </c>
      <c r="C315" s="7" t="s">
        <v>9</v>
      </c>
      <c r="D315" s="7" t="s">
        <v>9</v>
      </c>
      <c r="E315" s="7" t="s">
        <v>9</v>
      </c>
      <c r="F315" s="7"/>
      <c r="G315" s="7" t="s">
        <v>9</v>
      </c>
    </row>
    <row r="316" spans="1:7">
      <c r="A316" s="7" t="s">
        <v>32</v>
      </c>
      <c r="B316" s="7" t="str">
        <f>"223410022812"</f>
        <v>223410022812</v>
      </c>
      <c r="C316" s="7" t="s">
        <v>9</v>
      </c>
      <c r="D316" s="7" t="s">
        <v>9</v>
      </c>
      <c r="E316" s="7" t="s">
        <v>9</v>
      </c>
      <c r="F316" s="7"/>
      <c r="G316" s="7" t="s">
        <v>9</v>
      </c>
    </row>
    <row r="317" spans="1:7">
      <c r="A317" s="7" t="s">
        <v>32</v>
      </c>
      <c r="B317" s="7" t="str">
        <f>"223410022826"</f>
        <v>223410022826</v>
      </c>
      <c r="C317" s="7" t="s">
        <v>9</v>
      </c>
      <c r="D317" s="7" t="s">
        <v>9</v>
      </c>
      <c r="E317" s="7" t="s">
        <v>9</v>
      </c>
      <c r="F317" s="7"/>
      <c r="G317" s="7" t="s">
        <v>9</v>
      </c>
    </row>
    <row r="318" spans="1:7">
      <c r="A318" s="7" t="s">
        <v>32</v>
      </c>
      <c r="B318" s="7" t="str">
        <f>"223410022901"</f>
        <v>223410022901</v>
      </c>
      <c r="C318" s="7" t="s">
        <v>9</v>
      </c>
      <c r="D318" s="7" t="s">
        <v>9</v>
      </c>
      <c r="E318" s="7" t="s">
        <v>9</v>
      </c>
      <c r="F318" s="7"/>
      <c r="G318" s="7" t="s">
        <v>9</v>
      </c>
    </row>
    <row r="319" spans="1:7">
      <c r="A319" s="7" t="s">
        <v>32</v>
      </c>
      <c r="B319" s="7" t="str">
        <f>"223410022930"</f>
        <v>223410022930</v>
      </c>
      <c r="C319" s="7" t="s">
        <v>9</v>
      </c>
      <c r="D319" s="7" t="s">
        <v>9</v>
      </c>
      <c r="E319" s="7" t="s">
        <v>9</v>
      </c>
      <c r="F319" s="7"/>
      <c r="G319" s="7" t="s">
        <v>9</v>
      </c>
    </row>
    <row r="320" spans="1:7">
      <c r="A320" s="7" t="s">
        <v>32</v>
      </c>
      <c r="B320" s="7" t="str">
        <f>"223410023023"</f>
        <v>223410023023</v>
      </c>
      <c r="C320" s="7" t="s">
        <v>9</v>
      </c>
      <c r="D320" s="7" t="s">
        <v>9</v>
      </c>
      <c r="E320" s="7" t="s">
        <v>9</v>
      </c>
      <c r="F320" s="7"/>
      <c r="G320" s="7" t="s">
        <v>9</v>
      </c>
    </row>
    <row r="321" spans="1:7">
      <c r="A321" s="7" t="s">
        <v>32</v>
      </c>
      <c r="B321" s="7" t="str">
        <f>"223410023107"</f>
        <v>223410023107</v>
      </c>
      <c r="C321" s="7" t="s">
        <v>9</v>
      </c>
      <c r="D321" s="7" t="s">
        <v>9</v>
      </c>
      <c r="E321" s="7" t="s">
        <v>9</v>
      </c>
      <c r="F321" s="7"/>
      <c r="G321" s="7" t="s">
        <v>9</v>
      </c>
    </row>
    <row r="322" spans="1:7">
      <c r="A322" s="7" t="s">
        <v>32</v>
      </c>
      <c r="B322" s="7" t="str">
        <f>"223410023322"</f>
        <v>223410023322</v>
      </c>
      <c r="C322" s="7" t="s">
        <v>9</v>
      </c>
      <c r="D322" s="7" t="s">
        <v>9</v>
      </c>
      <c r="E322" s="7" t="s">
        <v>9</v>
      </c>
      <c r="F322" s="7"/>
      <c r="G322" s="7" t="s">
        <v>9</v>
      </c>
    </row>
    <row r="323" spans="1:7">
      <c r="A323" s="7" t="s">
        <v>32</v>
      </c>
      <c r="B323" s="7" t="str">
        <f>"223410023522"</f>
        <v>223410023522</v>
      </c>
      <c r="C323" s="7" t="s">
        <v>9</v>
      </c>
      <c r="D323" s="7" t="s">
        <v>9</v>
      </c>
      <c r="E323" s="7" t="s">
        <v>9</v>
      </c>
      <c r="F323" s="7"/>
      <c r="G323" s="7" t="s">
        <v>9</v>
      </c>
    </row>
    <row r="324" spans="1:7">
      <c r="A324" s="7" t="s">
        <v>32</v>
      </c>
      <c r="B324" s="7" t="str">
        <f>"223410023623"</f>
        <v>223410023623</v>
      </c>
      <c r="C324" s="7" t="s">
        <v>9</v>
      </c>
      <c r="D324" s="7" t="s">
        <v>9</v>
      </c>
      <c r="E324" s="7" t="s">
        <v>9</v>
      </c>
      <c r="F324" s="7"/>
      <c r="G324" s="7" t="s">
        <v>9</v>
      </c>
    </row>
    <row r="325" spans="1:7">
      <c r="A325" s="7" t="s">
        <v>32</v>
      </c>
      <c r="B325" s="7" t="str">
        <f>"223410023630"</f>
        <v>223410023630</v>
      </c>
      <c r="C325" s="7" t="s">
        <v>9</v>
      </c>
      <c r="D325" s="7" t="s">
        <v>9</v>
      </c>
      <c r="E325" s="7" t="s">
        <v>9</v>
      </c>
      <c r="F325" s="7"/>
      <c r="G325" s="7" t="s">
        <v>9</v>
      </c>
    </row>
    <row r="326" spans="1:7">
      <c r="A326" s="7" t="s">
        <v>32</v>
      </c>
      <c r="B326" s="7" t="str">
        <f>"223410023220"</f>
        <v>223410023220</v>
      </c>
      <c r="C326" s="7">
        <v>98</v>
      </c>
      <c r="D326" s="7">
        <v>91</v>
      </c>
      <c r="E326" s="7">
        <f t="shared" ref="E323:E386" si="12">C326*0.6+D326*0.4</f>
        <v>95.2</v>
      </c>
      <c r="F326" s="7"/>
      <c r="G326" s="7">
        <f t="shared" ref="G326:G389" si="13">E326+F326</f>
        <v>95.2</v>
      </c>
    </row>
    <row r="327" spans="1:7">
      <c r="A327" s="7" t="s">
        <v>32</v>
      </c>
      <c r="B327" s="7" t="str">
        <f>"223410023408"</f>
        <v>223410023408</v>
      </c>
      <c r="C327" s="7">
        <v>103.5</v>
      </c>
      <c r="D327" s="7">
        <v>75</v>
      </c>
      <c r="E327" s="7">
        <f t="shared" si="12"/>
        <v>92.1</v>
      </c>
      <c r="F327" s="7"/>
      <c r="G327" s="7">
        <f t="shared" si="13"/>
        <v>92.1</v>
      </c>
    </row>
    <row r="328" spans="1:7">
      <c r="A328" s="7" t="s">
        <v>32</v>
      </c>
      <c r="B328" s="7" t="str">
        <f>"223410023020"</f>
        <v>223410023020</v>
      </c>
      <c r="C328" s="7">
        <v>99.5</v>
      </c>
      <c r="D328" s="7">
        <v>73</v>
      </c>
      <c r="E328" s="7">
        <f t="shared" si="12"/>
        <v>88.9</v>
      </c>
      <c r="F328" s="7"/>
      <c r="G328" s="7">
        <f t="shared" si="13"/>
        <v>88.9</v>
      </c>
    </row>
    <row r="329" spans="1:7">
      <c r="A329" s="7" t="s">
        <v>32</v>
      </c>
      <c r="B329" s="7" t="str">
        <f>"223410023427"</f>
        <v>223410023427</v>
      </c>
      <c r="C329" s="7">
        <v>98.5</v>
      </c>
      <c r="D329" s="7">
        <v>73</v>
      </c>
      <c r="E329" s="7">
        <f t="shared" si="12"/>
        <v>88.3</v>
      </c>
      <c r="F329" s="7"/>
      <c r="G329" s="7">
        <f t="shared" si="13"/>
        <v>88.3</v>
      </c>
    </row>
    <row r="330" spans="1:7">
      <c r="A330" s="7" t="s">
        <v>32</v>
      </c>
      <c r="B330" s="7" t="str">
        <f>"223410023116"</f>
        <v>223410023116</v>
      </c>
      <c r="C330" s="7">
        <v>89</v>
      </c>
      <c r="D330" s="7">
        <v>87</v>
      </c>
      <c r="E330" s="7">
        <f t="shared" si="12"/>
        <v>88.2</v>
      </c>
      <c r="F330" s="7"/>
      <c r="G330" s="7">
        <f t="shared" si="13"/>
        <v>88.2</v>
      </c>
    </row>
    <row r="331" spans="1:7">
      <c r="A331" s="7" t="s">
        <v>32</v>
      </c>
      <c r="B331" s="7" t="str">
        <f>"223410022805"</f>
        <v>223410022805</v>
      </c>
      <c r="C331" s="7">
        <v>101</v>
      </c>
      <c r="D331" s="7">
        <v>67.5</v>
      </c>
      <c r="E331" s="7">
        <f t="shared" si="12"/>
        <v>87.6</v>
      </c>
      <c r="F331" s="7"/>
      <c r="G331" s="7">
        <f t="shared" si="13"/>
        <v>87.6</v>
      </c>
    </row>
    <row r="332" spans="1:7">
      <c r="A332" s="7" t="s">
        <v>32</v>
      </c>
      <c r="B332" s="7" t="str">
        <f>"223410023609"</f>
        <v>223410023609</v>
      </c>
      <c r="C332" s="7">
        <v>95</v>
      </c>
      <c r="D332" s="7">
        <v>74</v>
      </c>
      <c r="E332" s="7">
        <f t="shared" si="12"/>
        <v>86.6</v>
      </c>
      <c r="F332" s="7"/>
      <c r="G332" s="7">
        <f t="shared" si="13"/>
        <v>86.6</v>
      </c>
    </row>
    <row r="333" spans="1:7">
      <c r="A333" s="7" t="s">
        <v>32</v>
      </c>
      <c r="B333" s="7" t="str">
        <f>"223410022929"</f>
        <v>223410022929</v>
      </c>
      <c r="C333" s="7">
        <v>97.5</v>
      </c>
      <c r="D333" s="7">
        <v>70</v>
      </c>
      <c r="E333" s="7">
        <f t="shared" si="12"/>
        <v>86.5</v>
      </c>
      <c r="F333" s="7"/>
      <c r="G333" s="7">
        <f t="shared" si="13"/>
        <v>86.5</v>
      </c>
    </row>
    <row r="334" spans="1:7">
      <c r="A334" s="7" t="s">
        <v>32</v>
      </c>
      <c r="B334" s="7" t="str">
        <f>"223410022626"</f>
        <v>223410022626</v>
      </c>
      <c r="C334" s="7">
        <v>92.5</v>
      </c>
      <c r="D334" s="7">
        <v>77</v>
      </c>
      <c r="E334" s="7">
        <f t="shared" si="12"/>
        <v>86.3</v>
      </c>
      <c r="F334" s="7"/>
      <c r="G334" s="7">
        <f t="shared" si="13"/>
        <v>86.3</v>
      </c>
    </row>
    <row r="335" spans="1:7">
      <c r="A335" s="7" t="s">
        <v>32</v>
      </c>
      <c r="B335" s="7" t="str">
        <f>"223410022804"</f>
        <v>223410022804</v>
      </c>
      <c r="C335" s="7">
        <v>94</v>
      </c>
      <c r="D335" s="7">
        <v>72.5</v>
      </c>
      <c r="E335" s="7">
        <f t="shared" si="12"/>
        <v>85.4</v>
      </c>
      <c r="F335" s="7"/>
      <c r="G335" s="7">
        <f t="shared" si="13"/>
        <v>85.4</v>
      </c>
    </row>
    <row r="336" spans="1:7">
      <c r="A336" s="7" t="s">
        <v>32</v>
      </c>
      <c r="B336" s="7" t="str">
        <f>"223410022508"</f>
        <v>223410022508</v>
      </c>
      <c r="C336" s="7">
        <v>90</v>
      </c>
      <c r="D336" s="7">
        <v>65</v>
      </c>
      <c r="E336" s="7">
        <f t="shared" si="12"/>
        <v>80</v>
      </c>
      <c r="F336" s="7"/>
      <c r="G336" s="7">
        <f t="shared" si="13"/>
        <v>80</v>
      </c>
    </row>
    <row r="337" spans="1:7">
      <c r="A337" s="7" t="s">
        <v>32</v>
      </c>
      <c r="B337" s="7" t="str">
        <f>"223410023521"</f>
        <v>223410023521</v>
      </c>
      <c r="C337" s="7">
        <v>93</v>
      </c>
      <c r="D337" s="7">
        <v>59</v>
      </c>
      <c r="E337" s="7">
        <f t="shared" si="12"/>
        <v>79.4</v>
      </c>
      <c r="F337" s="7"/>
      <c r="G337" s="7">
        <f t="shared" si="13"/>
        <v>79.4</v>
      </c>
    </row>
    <row r="338" spans="1:7">
      <c r="A338" s="7" t="s">
        <v>32</v>
      </c>
      <c r="B338" s="7" t="str">
        <f>"223410023601"</f>
        <v>223410023601</v>
      </c>
      <c r="C338" s="7">
        <v>92</v>
      </c>
      <c r="D338" s="7">
        <v>58</v>
      </c>
      <c r="E338" s="7">
        <f t="shared" si="12"/>
        <v>78.4</v>
      </c>
      <c r="F338" s="7"/>
      <c r="G338" s="7">
        <f t="shared" si="13"/>
        <v>78.4</v>
      </c>
    </row>
    <row r="339" spans="1:7">
      <c r="A339" s="7" t="s">
        <v>32</v>
      </c>
      <c r="B339" s="7" t="str">
        <f>"223410022728"</f>
        <v>223410022728</v>
      </c>
      <c r="C339" s="7">
        <v>78</v>
      </c>
      <c r="D339" s="7">
        <v>72</v>
      </c>
      <c r="E339" s="7">
        <f t="shared" si="12"/>
        <v>75.6</v>
      </c>
      <c r="F339" s="7"/>
      <c r="G339" s="7">
        <f t="shared" si="13"/>
        <v>75.6</v>
      </c>
    </row>
    <row r="340" spans="1:7">
      <c r="A340" s="7" t="s">
        <v>32</v>
      </c>
      <c r="B340" s="7" t="str">
        <f>"223410022729"</f>
        <v>223410022729</v>
      </c>
      <c r="C340" s="7">
        <v>85.5</v>
      </c>
      <c r="D340" s="7">
        <v>59</v>
      </c>
      <c r="E340" s="7">
        <f t="shared" si="12"/>
        <v>74.9</v>
      </c>
      <c r="F340" s="7"/>
      <c r="G340" s="7">
        <f t="shared" si="13"/>
        <v>74.9</v>
      </c>
    </row>
    <row r="341" spans="1:7">
      <c r="A341" s="7" t="s">
        <v>32</v>
      </c>
      <c r="B341" s="7" t="str">
        <f>"223410023014"</f>
        <v>223410023014</v>
      </c>
      <c r="C341" s="7">
        <v>86</v>
      </c>
      <c r="D341" s="7">
        <v>58</v>
      </c>
      <c r="E341" s="7">
        <f t="shared" si="12"/>
        <v>74.8</v>
      </c>
      <c r="F341" s="7"/>
      <c r="G341" s="7">
        <f t="shared" si="13"/>
        <v>74.8</v>
      </c>
    </row>
    <row r="342" spans="1:7">
      <c r="A342" s="7" t="s">
        <v>32</v>
      </c>
      <c r="B342" s="7" t="str">
        <f>"223410023611"</f>
        <v>223410023611</v>
      </c>
      <c r="C342" s="7">
        <v>85</v>
      </c>
      <c r="D342" s="7">
        <v>54</v>
      </c>
      <c r="E342" s="7">
        <f t="shared" si="12"/>
        <v>72.6</v>
      </c>
      <c r="F342" s="7"/>
      <c r="G342" s="7">
        <f t="shared" si="13"/>
        <v>72.6</v>
      </c>
    </row>
    <row r="343" spans="1:7">
      <c r="A343" s="7" t="s">
        <v>32</v>
      </c>
      <c r="B343" s="7" t="str">
        <f>"223410022718"</f>
        <v>223410022718</v>
      </c>
      <c r="C343" s="7">
        <v>80</v>
      </c>
      <c r="D343" s="7">
        <v>49</v>
      </c>
      <c r="E343" s="7">
        <f t="shared" si="12"/>
        <v>67.6</v>
      </c>
      <c r="F343" s="7"/>
      <c r="G343" s="7">
        <f t="shared" si="13"/>
        <v>67.6</v>
      </c>
    </row>
    <row r="344" spans="1:7">
      <c r="A344" s="7" t="s">
        <v>32</v>
      </c>
      <c r="B344" s="7" t="str">
        <f>"223410022621"</f>
        <v>223410022621</v>
      </c>
      <c r="C344" s="7">
        <v>69</v>
      </c>
      <c r="D344" s="7">
        <v>63</v>
      </c>
      <c r="E344" s="7">
        <f t="shared" si="12"/>
        <v>66.6</v>
      </c>
      <c r="F344" s="7"/>
      <c r="G344" s="7">
        <f t="shared" si="13"/>
        <v>66.6</v>
      </c>
    </row>
    <row r="345" spans="1:7">
      <c r="A345" s="7" t="s">
        <v>32</v>
      </c>
      <c r="B345" s="7" t="str">
        <f>"223410023420"</f>
        <v>223410023420</v>
      </c>
      <c r="C345" s="7">
        <v>69.5</v>
      </c>
      <c r="D345" s="7">
        <v>62</v>
      </c>
      <c r="E345" s="7">
        <f t="shared" si="12"/>
        <v>66.5</v>
      </c>
      <c r="F345" s="7"/>
      <c r="G345" s="7">
        <f t="shared" si="13"/>
        <v>66.5</v>
      </c>
    </row>
    <row r="346" spans="1:7">
      <c r="A346" s="7" t="s">
        <v>32</v>
      </c>
      <c r="B346" s="7" t="str">
        <f>"223410023305"</f>
        <v>223410023305</v>
      </c>
      <c r="C346" s="7">
        <v>71</v>
      </c>
      <c r="D346" s="7">
        <v>49</v>
      </c>
      <c r="E346" s="7">
        <f t="shared" si="12"/>
        <v>62.2</v>
      </c>
      <c r="F346" s="7"/>
      <c r="G346" s="7">
        <f t="shared" si="13"/>
        <v>62.2</v>
      </c>
    </row>
    <row r="347" spans="1:7">
      <c r="A347" s="7" t="s">
        <v>33</v>
      </c>
      <c r="B347" s="7" t="str">
        <f>"223410010416"</f>
        <v>223410010416</v>
      </c>
      <c r="C347" s="7" t="s">
        <v>9</v>
      </c>
      <c r="D347" s="7" t="s">
        <v>9</v>
      </c>
      <c r="E347" s="7" t="s">
        <v>9</v>
      </c>
      <c r="F347" s="7"/>
      <c r="G347" s="7" t="s">
        <v>9</v>
      </c>
    </row>
    <row r="348" spans="1:7">
      <c r="A348" s="7" t="s">
        <v>33</v>
      </c>
      <c r="B348" s="7" t="str">
        <f>"223410011708"</f>
        <v>223410011708</v>
      </c>
      <c r="C348" s="7" t="s">
        <v>9</v>
      </c>
      <c r="D348" s="7" t="s">
        <v>9</v>
      </c>
      <c r="E348" s="7" t="s">
        <v>9</v>
      </c>
      <c r="F348" s="7"/>
      <c r="G348" s="7" t="s">
        <v>9</v>
      </c>
    </row>
    <row r="349" spans="1:7">
      <c r="A349" s="7" t="s">
        <v>33</v>
      </c>
      <c r="B349" s="7" t="str">
        <f>"223410012017"</f>
        <v>223410012017</v>
      </c>
      <c r="C349" s="7" t="s">
        <v>9</v>
      </c>
      <c r="D349" s="7" t="s">
        <v>9</v>
      </c>
      <c r="E349" s="7" t="s">
        <v>9</v>
      </c>
      <c r="F349" s="7"/>
      <c r="G349" s="7" t="s">
        <v>9</v>
      </c>
    </row>
    <row r="350" spans="1:7">
      <c r="A350" s="7" t="s">
        <v>33</v>
      </c>
      <c r="B350" s="7" t="str">
        <f>"223410012323"</f>
        <v>223410012323</v>
      </c>
      <c r="C350" s="7" t="s">
        <v>9</v>
      </c>
      <c r="D350" s="7" t="s">
        <v>9</v>
      </c>
      <c r="E350" s="7" t="s">
        <v>9</v>
      </c>
      <c r="F350" s="7"/>
      <c r="G350" s="7" t="s">
        <v>9</v>
      </c>
    </row>
    <row r="351" spans="1:7">
      <c r="A351" s="7" t="s">
        <v>33</v>
      </c>
      <c r="B351" s="7" t="str">
        <f>"223410012703"</f>
        <v>223410012703</v>
      </c>
      <c r="C351" s="7" t="s">
        <v>9</v>
      </c>
      <c r="D351" s="7" t="s">
        <v>9</v>
      </c>
      <c r="E351" s="7" t="s">
        <v>9</v>
      </c>
      <c r="F351" s="7"/>
      <c r="G351" s="7" t="s">
        <v>9</v>
      </c>
    </row>
    <row r="352" spans="1:7">
      <c r="A352" s="7" t="s">
        <v>33</v>
      </c>
      <c r="B352" s="7" t="str">
        <f>"223410013223"</f>
        <v>223410013223</v>
      </c>
      <c r="C352" s="7" t="s">
        <v>9</v>
      </c>
      <c r="D352" s="7" t="s">
        <v>9</v>
      </c>
      <c r="E352" s="7" t="s">
        <v>9</v>
      </c>
      <c r="F352" s="7"/>
      <c r="G352" s="7" t="s">
        <v>9</v>
      </c>
    </row>
    <row r="353" spans="1:7">
      <c r="A353" s="7" t="s">
        <v>33</v>
      </c>
      <c r="B353" s="7" t="str">
        <f>"223410010626"</f>
        <v>223410010626</v>
      </c>
      <c r="C353" s="7">
        <v>92</v>
      </c>
      <c r="D353" s="7">
        <v>89</v>
      </c>
      <c r="E353" s="7">
        <f t="shared" si="12"/>
        <v>90.8</v>
      </c>
      <c r="F353" s="7"/>
      <c r="G353" s="7">
        <f t="shared" si="13"/>
        <v>90.8</v>
      </c>
    </row>
    <row r="354" spans="1:7">
      <c r="A354" s="7" t="s">
        <v>33</v>
      </c>
      <c r="B354" s="7" t="str">
        <f>"223410011802"</f>
        <v>223410011802</v>
      </c>
      <c r="C354" s="7">
        <v>84</v>
      </c>
      <c r="D354" s="7">
        <v>82</v>
      </c>
      <c r="E354" s="7">
        <f t="shared" si="12"/>
        <v>83.2</v>
      </c>
      <c r="F354" s="7"/>
      <c r="G354" s="7">
        <f t="shared" si="13"/>
        <v>83.2</v>
      </c>
    </row>
    <row r="355" spans="1:7">
      <c r="A355" s="7" t="s">
        <v>33</v>
      </c>
      <c r="B355" s="7" t="str">
        <f>"223410010726"</f>
        <v>223410010726</v>
      </c>
      <c r="C355" s="7">
        <v>89</v>
      </c>
      <c r="D355" s="7">
        <v>68</v>
      </c>
      <c r="E355" s="7">
        <f t="shared" si="12"/>
        <v>80.6</v>
      </c>
      <c r="F355" s="7"/>
      <c r="G355" s="7">
        <f t="shared" si="13"/>
        <v>80.6</v>
      </c>
    </row>
    <row r="356" spans="1:7">
      <c r="A356" s="7" t="s">
        <v>33</v>
      </c>
      <c r="B356" s="7" t="str">
        <f>"223410013128"</f>
        <v>223410013128</v>
      </c>
      <c r="C356" s="7">
        <v>88</v>
      </c>
      <c r="D356" s="7">
        <v>64</v>
      </c>
      <c r="E356" s="7">
        <f t="shared" si="12"/>
        <v>78.4</v>
      </c>
      <c r="F356" s="7"/>
      <c r="G356" s="7">
        <f t="shared" si="13"/>
        <v>78.4</v>
      </c>
    </row>
    <row r="357" spans="1:7">
      <c r="A357" s="7" t="s">
        <v>33</v>
      </c>
      <c r="B357" s="7" t="str">
        <f>"223410011820"</f>
        <v>223410011820</v>
      </c>
      <c r="C357" s="7">
        <v>84</v>
      </c>
      <c r="D357" s="7">
        <v>63</v>
      </c>
      <c r="E357" s="7">
        <f t="shared" si="12"/>
        <v>75.6</v>
      </c>
      <c r="F357" s="7"/>
      <c r="G357" s="7">
        <f t="shared" si="13"/>
        <v>75.6</v>
      </c>
    </row>
    <row r="358" spans="1:7">
      <c r="A358" s="7" t="s">
        <v>33</v>
      </c>
      <c r="B358" s="7" t="str">
        <f>"223410012410"</f>
        <v>223410012410</v>
      </c>
      <c r="C358" s="7">
        <v>86</v>
      </c>
      <c r="D358" s="7">
        <v>59</v>
      </c>
      <c r="E358" s="7">
        <f t="shared" si="12"/>
        <v>75.2</v>
      </c>
      <c r="F358" s="7"/>
      <c r="G358" s="7">
        <f t="shared" si="13"/>
        <v>75.2</v>
      </c>
    </row>
    <row r="359" spans="1:7">
      <c r="A359" s="7" t="s">
        <v>33</v>
      </c>
      <c r="B359" s="7" t="str">
        <f>"223410011720"</f>
        <v>223410011720</v>
      </c>
      <c r="C359" s="7">
        <v>82</v>
      </c>
      <c r="D359" s="7">
        <v>59</v>
      </c>
      <c r="E359" s="7">
        <f t="shared" si="12"/>
        <v>72.8</v>
      </c>
      <c r="F359" s="7"/>
      <c r="G359" s="7">
        <f t="shared" si="13"/>
        <v>72.8</v>
      </c>
    </row>
    <row r="360" spans="1:7">
      <c r="A360" s="7" t="s">
        <v>33</v>
      </c>
      <c r="B360" s="7" t="str">
        <f>"223410013203"</f>
        <v>223410013203</v>
      </c>
      <c r="C360" s="7">
        <v>81</v>
      </c>
      <c r="D360" s="7">
        <v>57</v>
      </c>
      <c r="E360" s="7">
        <f t="shared" si="12"/>
        <v>71.4</v>
      </c>
      <c r="F360" s="7"/>
      <c r="G360" s="7">
        <f t="shared" si="13"/>
        <v>71.4</v>
      </c>
    </row>
    <row r="361" spans="1:7">
      <c r="A361" s="7" t="s">
        <v>33</v>
      </c>
      <c r="B361" s="7" t="str">
        <f>"223410010627"</f>
        <v>223410010627</v>
      </c>
      <c r="C361" s="7">
        <v>74</v>
      </c>
      <c r="D361" s="7">
        <v>65</v>
      </c>
      <c r="E361" s="7">
        <f t="shared" si="12"/>
        <v>70.4</v>
      </c>
      <c r="F361" s="7"/>
      <c r="G361" s="7">
        <f t="shared" si="13"/>
        <v>70.4</v>
      </c>
    </row>
    <row r="362" spans="1:7">
      <c r="A362" s="7" t="s">
        <v>33</v>
      </c>
      <c r="B362" s="7" t="str">
        <f>"223410012627"</f>
        <v>223410012627</v>
      </c>
      <c r="C362" s="7">
        <v>74</v>
      </c>
      <c r="D362" s="7">
        <v>55</v>
      </c>
      <c r="E362" s="7">
        <f t="shared" si="12"/>
        <v>66.4</v>
      </c>
      <c r="F362" s="7"/>
      <c r="G362" s="7">
        <f t="shared" si="13"/>
        <v>66.4</v>
      </c>
    </row>
    <row r="363" spans="1:7">
      <c r="A363" s="7" t="s">
        <v>33</v>
      </c>
      <c r="B363" s="7" t="str">
        <f>"223410010423"</f>
        <v>223410010423</v>
      </c>
      <c r="C363" s="7">
        <v>63</v>
      </c>
      <c r="D363" s="7">
        <v>67</v>
      </c>
      <c r="E363" s="7">
        <f t="shared" si="12"/>
        <v>64.6</v>
      </c>
      <c r="F363" s="7"/>
      <c r="G363" s="7">
        <f t="shared" si="13"/>
        <v>64.6</v>
      </c>
    </row>
    <row r="364" spans="1:7">
      <c r="A364" s="7" t="s">
        <v>33</v>
      </c>
      <c r="B364" s="7" t="str">
        <f>"223410011123"</f>
        <v>223410011123</v>
      </c>
      <c r="C364" s="7">
        <v>70</v>
      </c>
      <c r="D364" s="7">
        <v>55</v>
      </c>
      <c r="E364" s="7">
        <f t="shared" si="12"/>
        <v>64</v>
      </c>
      <c r="F364" s="7"/>
      <c r="G364" s="7">
        <f t="shared" si="13"/>
        <v>64</v>
      </c>
    </row>
    <row r="365" spans="1:7">
      <c r="A365" s="7" t="s">
        <v>33</v>
      </c>
      <c r="B365" s="7" t="str">
        <f>"223410010809"</f>
        <v>223410010809</v>
      </c>
      <c r="C365" s="7">
        <v>55</v>
      </c>
      <c r="D365" s="7">
        <v>52</v>
      </c>
      <c r="E365" s="7">
        <f t="shared" si="12"/>
        <v>53.8</v>
      </c>
      <c r="F365" s="7"/>
      <c r="G365" s="7">
        <f t="shared" si="13"/>
        <v>53.8</v>
      </c>
    </row>
    <row r="366" spans="1:7">
      <c r="A366" s="7" t="s">
        <v>34</v>
      </c>
      <c r="B366" s="7" t="str">
        <f>"223410020626"</f>
        <v>223410020626</v>
      </c>
      <c r="C366" s="7" t="s">
        <v>9</v>
      </c>
      <c r="D366" s="7" t="s">
        <v>9</v>
      </c>
      <c r="E366" s="7" t="s">
        <v>9</v>
      </c>
      <c r="F366" s="7"/>
      <c r="G366" s="7" t="s">
        <v>9</v>
      </c>
    </row>
    <row r="367" spans="1:7">
      <c r="A367" s="7" t="s">
        <v>34</v>
      </c>
      <c r="B367" s="7" t="str">
        <f>"223410021104"</f>
        <v>223410021104</v>
      </c>
      <c r="C367" s="7" t="s">
        <v>9</v>
      </c>
      <c r="D367" s="7" t="s">
        <v>9</v>
      </c>
      <c r="E367" s="7" t="s">
        <v>9</v>
      </c>
      <c r="F367" s="7"/>
      <c r="G367" s="7" t="s">
        <v>9</v>
      </c>
    </row>
    <row r="368" spans="1:7">
      <c r="A368" s="7" t="s">
        <v>34</v>
      </c>
      <c r="B368" s="7" t="str">
        <f>"223410021328"</f>
        <v>223410021328</v>
      </c>
      <c r="C368" s="7" t="s">
        <v>9</v>
      </c>
      <c r="D368" s="7" t="s">
        <v>9</v>
      </c>
      <c r="E368" s="7" t="s">
        <v>9</v>
      </c>
      <c r="F368" s="7"/>
      <c r="G368" s="7" t="s">
        <v>9</v>
      </c>
    </row>
    <row r="369" spans="1:7">
      <c r="A369" s="7" t="s">
        <v>34</v>
      </c>
      <c r="B369" s="7" t="str">
        <f>"223410021522"</f>
        <v>223410021522</v>
      </c>
      <c r="C369" s="7" t="s">
        <v>9</v>
      </c>
      <c r="D369" s="7" t="s">
        <v>9</v>
      </c>
      <c r="E369" s="7" t="s">
        <v>9</v>
      </c>
      <c r="F369" s="7"/>
      <c r="G369" s="7" t="s">
        <v>9</v>
      </c>
    </row>
    <row r="370" spans="1:7">
      <c r="A370" s="7" t="s">
        <v>34</v>
      </c>
      <c r="B370" s="7" t="str">
        <f>"223410021809"</f>
        <v>223410021809</v>
      </c>
      <c r="C370" s="7" t="s">
        <v>9</v>
      </c>
      <c r="D370" s="7" t="s">
        <v>9</v>
      </c>
      <c r="E370" s="7" t="s">
        <v>9</v>
      </c>
      <c r="F370" s="7"/>
      <c r="G370" s="7" t="s">
        <v>9</v>
      </c>
    </row>
    <row r="371" spans="1:7">
      <c r="A371" s="7" t="s">
        <v>34</v>
      </c>
      <c r="B371" s="7" t="str">
        <f>"223410021905"</f>
        <v>223410021905</v>
      </c>
      <c r="C371" s="7" t="s">
        <v>9</v>
      </c>
      <c r="D371" s="7" t="s">
        <v>9</v>
      </c>
      <c r="E371" s="7" t="s">
        <v>9</v>
      </c>
      <c r="F371" s="7"/>
      <c r="G371" s="7" t="s">
        <v>9</v>
      </c>
    </row>
    <row r="372" spans="1:7">
      <c r="A372" s="7" t="s">
        <v>34</v>
      </c>
      <c r="B372" s="7" t="str">
        <f>"223410022112"</f>
        <v>223410022112</v>
      </c>
      <c r="C372" s="7" t="s">
        <v>9</v>
      </c>
      <c r="D372" s="7" t="s">
        <v>9</v>
      </c>
      <c r="E372" s="7" t="s">
        <v>9</v>
      </c>
      <c r="F372" s="7"/>
      <c r="G372" s="7" t="s">
        <v>9</v>
      </c>
    </row>
    <row r="373" spans="1:7">
      <c r="A373" s="7" t="s">
        <v>34</v>
      </c>
      <c r="B373" s="7" t="str">
        <f>"223410021313"</f>
        <v>223410021313</v>
      </c>
      <c r="C373" s="7">
        <v>105</v>
      </c>
      <c r="D373" s="7">
        <v>90</v>
      </c>
      <c r="E373" s="7">
        <f t="shared" si="12"/>
        <v>99</v>
      </c>
      <c r="F373" s="7"/>
      <c r="G373" s="7">
        <f t="shared" si="13"/>
        <v>99</v>
      </c>
    </row>
    <row r="374" spans="1:7">
      <c r="A374" s="7" t="s">
        <v>34</v>
      </c>
      <c r="B374" s="7" t="str">
        <f>"223410022029"</f>
        <v>223410022029</v>
      </c>
      <c r="C374" s="7">
        <v>96.5</v>
      </c>
      <c r="D374" s="7">
        <v>75</v>
      </c>
      <c r="E374" s="7">
        <f t="shared" si="12"/>
        <v>87.9</v>
      </c>
      <c r="F374" s="7"/>
      <c r="G374" s="7">
        <f t="shared" si="13"/>
        <v>87.9</v>
      </c>
    </row>
    <row r="375" spans="1:7">
      <c r="A375" s="7" t="s">
        <v>34</v>
      </c>
      <c r="B375" s="7" t="str">
        <f>"223410022309"</f>
        <v>223410022309</v>
      </c>
      <c r="C375" s="7">
        <v>93.5</v>
      </c>
      <c r="D375" s="7">
        <v>68.5</v>
      </c>
      <c r="E375" s="7">
        <f t="shared" si="12"/>
        <v>83.5</v>
      </c>
      <c r="F375" s="7"/>
      <c r="G375" s="7">
        <f t="shared" si="13"/>
        <v>83.5</v>
      </c>
    </row>
    <row r="376" spans="1:7">
      <c r="A376" s="7" t="s">
        <v>34</v>
      </c>
      <c r="B376" s="7" t="str">
        <f>"223410021008"</f>
        <v>223410021008</v>
      </c>
      <c r="C376" s="7">
        <v>90</v>
      </c>
      <c r="D376" s="7">
        <v>70</v>
      </c>
      <c r="E376" s="7">
        <f t="shared" si="12"/>
        <v>82</v>
      </c>
      <c r="F376" s="7"/>
      <c r="G376" s="7">
        <f t="shared" si="13"/>
        <v>82</v>
      </c>
    </row>
    <row r="377" spans="1:7">
      <c r="A377" s="7" t="s">
        <v>34</v>
      </c>
      <c r="B377" s="7" t="str">
        <f>"223410021321"</f>
        <v>223410021321</v>
      </c>
      <c r="C377" s="7">
        <v>78.5</v>
      </c>
      <c r="D377" s="7">
        <v>69</v>
      </c>
      <c r="E377" s="7">
        <f t="shared" si="12"/>
        <v>74.7</v>
      </c>
      <c r="F377" s="7"/>
      <c r="G377" s="7">
        <f t="shared" si="13"/>
        <v>74.7</v>
      </c>
    </row>
    <row r="378" spans="1:7">
      <c r="A378" s="7" t="s">
        <v>34</v>
      </c>
      <c r="B378" s="7" t="str">
        <f>"223410021706"</f>
        <v>223410021706</v>
      </c>
      <c r="C378" s="7">
        <v>67</v>
      </c>
      <c r="D378" s="7">
        <v>50</v>
      </c>
      <c r="E378" s="7">
        <f t="shared" si="12"/>
        <v>60.2</v>
      </c>
      <c r="F378" s="7"/>
      <c r="G378" s="7">
        <f t="shared" si="13"/>
        <v>60.2</v>
      </c>
    </row>
    <row r="379" spans="1:7">
      <c r="A379" s="7" t="s">
        <v>34</v>
      </c>
      <c r="B379" s="7" t="str">
        <f>"223410021407"</f>
        <v>223410021407</v>
      </c>
      <c r="C379" s="7">
        <v>58</v>
      </c>
      <c r="D379" s="7">
        <v>62</v>
      </c>
      <c r="E379" s="7">
        <f t="shared" si="12"/>
        <v>59.6</v>
      </c>
      <c r="F379" s="7"/>
      <c r="G379" s="7">
        <f t="shared" si="13"/>
        <v>59.6</v>
      </c>
    </row>
    <row r="380" spans="1:7">
      <c r="A380" s="7" t="s">
        <v>34</v>
      </c>
      <c r="B380" s="7" t="str">
        <f>"223410021812"</f>
        <v>223410021812</v>
      </c>
      <c r="C380" s="7">
        <v>48</v>
      </c>
      <c r="D380" s="7">
        <v>52</v>
      </c>
      <c r="E380" s="7">
        <f t="shared" si="12"/>
        <v>49.6</v>
      </c>
      <c r="F380" s="7"/>
      <c r="G380" s="7">
        <f t="shared" si="13"/>
        <v>49.6</v>
      </c>
    </row>
    <row r="381" spans="1:7">
      <c r="A381" s="7" t="s">
        <v>34</v>
      </c>
      <c r="B381" s="7" t="str">
        <f>"223410021009"</f>
        <v>223410021009</v>
      </c>
      <c r="C381" s="7">
        <v>51</v>
      </c>
      <c r="D381" s="7">
        <v>45</v>
      </c>
      <c r="E381" s="7">
        <f t="shared" si="12"/>
        <v>48.6</v>
      </c>
      <c r="F381" s="7"/>
      <c r="G381" s="7">
        <f t="shared" si="13"/>
        <v>48.6</v>
      </c>
    </row>
    <row r="382" spans="1:7">
      <c r="A382" s="7" t="s">
        <v>35</v>
      </c>
      <c r="B382" s="7" t="str">
        <f>"223410023711"</f>
        <v>223410023711</v>
      </c>
      <c r="C382" s="7" t="s">
        <v>9</v>
      </c>
      <c r="D382" s="7" t="s">
        <v>9</v>
      </c>
      <c r="E382" s="7" t="s">
        <v>9</v>
      </c>
      <c r="F382" s="7"/>
      <c r="G382" s="7" t="s">
        <v>9</v>
      </c>
    </row>
    <row r="383" spans="1:7">
      <c r="A383" s="7" t="s">
        <v>35</v>
      </c>
      <c r="B383" s="7" t="str">
        <f>"223410023820"</f>
        <v>223410023820</v>
      </c>
      <c r="C383" s="7" t="s">
        <v>9</v>
      </c>
      <c r="D383" s="7" t="s">
        <v>9</v>
      </c>
      <c r="E383" s="7" t="s">
        <v>9</v>
      </c>
      <c r="F383" s="7"/>
      <c r="G383" s="7" t="s">
        <v>9</v>
      </c>
    </row>
    <row r="384" spans="1:7">
      <c r="A384" s="7" t="s">
        <v>35</v>
      </c>
      <c r="B384" s="7" t="str">
        <f>"223410023920"</f>
        <v>223410023920</v>
      </c>
      <c r="C384" s="7" t="s">
        <v>9</v>
      </c>
      <c r="D384" s="7" t="s">
        <v>9</v>
      </c>
      <c r="E384" s="7" t="s">
        <v>9</v>
      </c>
      <c r="F384" s="7"/>
      <c r="G384" s="7" t="s">
        <v>9</v>
      </c>
    </row>
    <row r="385" spans="1:7">
      <c r="A385" s="7" t="s">
        <v>35</v>
      </c>
      <c r="B385" s="7" t="str">
        <f>"223410023826"</f>
        <v>223410023826</v>
      </c>
      <c r="C385" s="7">
        <v>96</v>
      </c>
      <c r="D385" s="7">
        <v>84</v>
      </c>
      <c r="E385" s="7">
        <f t="shared" si="12"/>
        <v>91.2</v>
      </c>
      <c r="F385" s="7"/>
      <c r="G385" s="7">
        <f t="shared" si="13"/>
        <v>91.2</v>
      </c>
    </row>
    <row r="386" spans="1:7">
      <c r="A386" s="7" t="s">
        <v>35</v>
      </c>
      <c r="B386" s="7" t="str">
        <f>"223410023930"</f>
        <v>223410023930</v>
      </c>
      <c r="C386" s="7">
        <v>87</v>
      </c>
      <c r="D386" s="7">
        <v>81.5</v>
      </c>
      <c r="E386" s="7">
        <f t="shared" si="12"/>
        <v>84.8</v>
      </c>
      <c r="F386" s="7"/>
      <c r="G386" s="7">
        <f t="shared" si="13"/>
        <v>84.8</v>
      </c>
    </row>
    <row r="387" spans="1:7">
      <c r="A387" s="7" t="s">
        <v>35</v>
      </c>
      <c r="B387" s="7" t="str">
        <f>"223410023919"</f>
        <v>223410023919</v>
      </c>
      <c r="C387" s="7">
        <v>99</v>
      </c>
      <c r="D387" s="7">
        <v>60</v>
      </c>
      <c r="E387" s="7">
        <f t="shared" ref="E387:E450" si="14">C387*0.6+D387*0.4</f>
        <v>83.4</v>
      </c>
      <c r="F387" s="7"/>
      <c r="G387" s="7">
        <f t="shared" si="13"/>
        <v>83.4</v>
      </c>
    </row>
    <row r="388" spans="1:7">
      <c r="A388" s="7" t="s">
        <v>35</v>
      </c>
      <c r="B388" s="7" t="str">
        <f>"223410023916"</f>
        <v>223410023916</v>
      </c>
      <c r="C388" s="7">
        <v>85.5</v>
      </c>
      <c r="D388" s="7">
        <v>70</v>
      </c>
      <c r="E388" s="7">
        <f t="shared" si="14"/>
        <v>79.3</v>
      </c>
      <c r="F388" s="7"/>
      <c r="G388" s="7">
        <f t="shared" si="13"/>
        <v>79.3</v>
      </c>
    </row>
    <row r="389" spans="1:7">
      <c r="A389" s="7" t="s">
        <v>35</v>
      </c>
      <c r="B389" s="7" t="str">
        <f>"223410023830"</f>
        <v>223410023830</v>
      </c>
      <c r="C389" s="7">
        <v>86.5</v>
      </c>
      <c r="D389" s="7">
        <v>65</v>
      </c>
      <c r="E389" s="7">
        <f t="shared" si="14"/>
        <v>77.9</v>
      </c>
      <c r="F389" s="7"/>
      <c r="G389" s="7">
        <f t="shared" si="13"/>
        <v>77.9</v>
      </c>
    </row>
    <row r="390" spans="1:7">
      <c r="A390" s="7" t="s">
        <v>35</v>
      </c>
      <c r="B390" s="7" t="str">
        <f>"223410023729"</f>
        <v>223410023729</v>
      </c>
      <c r="C390" s="7">
        <v>75.5</v>
      </c>
      <c r="D390" s="7">
        <v>65</v>
      </c>
      <c r="E390" s="7">
        <f t="shared" si="14"/>
        <v>71.3</v>
      </c>
      <c r="F390" s="7"/>
      <c r="G390" s="7">
        <f t="shared" ref="G390:G453" si="15">E390+F390</f>
        <v>71.3</v>
      </c>
    </row>
    <row r="391" spans="1:7">
      <c r="A391" s="7" t="s">
        <v>35</v>
      </c>
      <c r="B391" s="7" t="str">
        <f>"223410023718"</f>
        <v>223410023718</v>
      </c>
      <c r="C391" s="7">
        <v>77.5</v>
      </c>
      <c r="D391" s="7">
        <v>60</v>
      </c>
      <c r="E391" s="7">
        <f t="shared" si="14"/>
        <v>70.5</v>
      </c>
      <c r="F391" s="7"/>
      <c r="G391" s="7">
        <f t="shared" si="15"/>
        <v>70.5</v>
      </c>
    </row>
    <row r="392" spans="1:7">
      <c r="A392" s="7" t="s">
        <v>35</v>
      </c>
      <c r="B392" s="7" t="str">
        <f>"223410024210"</f>
        <v>223410024210</v>
      </c>
      <c r="C392" s="7">
        <v>70.5</v>
      </c>
      <c r="D392" s="7">
        <v>66</v>
      </c>
      <c r="E392" s="7">
        <f t="shared" si="14"/>
        <v>68.7</v>
      </c>
      <c r="F392" s="7"/>
      <c r="G392" s="7">
        <f t="shared" si="15"/>
        <v>68.7</v>
      </c>
    </row>
    <row r="393" spans="1:7">
      <c r="A393" s="7" t="s">
        <v>35</v>
      </c>
      <c r="B393" s="7" t="str">
        <f>"223410023801"</f>
        <v>223410023801</v>
      </c>
      <c r="C393" s="7">
        <v>72.5</v>
      </c>
      <c r="D393" s="7">
        <v>61</v>
      </c>
      <c r="E393" s="7">
        <f t="shared" si="14"/>
        <v>67.9</v>
      </c>
      <c r="F393" s="7"/>
      <c r="G393" s="7">
        <f t="shared" si="15"/>
        <v>67.9</v>
      </c>
    </row>
    <row r="394" spans="1:7">
      <c r="A394" s="7" t="s">
        <v>35</v>
      </c>
      <c r="B394" s="7" t="str">
        <f>"223410023926"</f>
        <v>223410023926</v>
      </c>
      <c r="C394" s="7">
        <v>69</v>
      </c>
      <c r="D394" s="7">
        <v>60</v>
      </c>
      <c r="E394" s="7">
        <f t="shared" si="14"/>
        <v>65.4</v>
      </c>
      <c r="F394" s="7"/>
      <c r="G394" s="7">
        <f t="shared" si="15"/>
        <v>65.4</v>
      </c>
    </row>
    <row r="395" spans="1:7">
      <c r="A395" s="7" t="s">
        <v>35</v>
      </c>
      <c r="B395" s="7" t="str">
        <f>"223410023728"</f>
        <v>223410023728</v>
      </c>
      <c r="C395" s="7">
        <v>67</v>
      </c>
      <c r="D395" s="7">
        <v>58</v>
      </c>
      <c r="E395" s="7">
        <f t="shared" si="14"/>
        <v>63.4</v>
      </c>
      <c r="F395" s="7"/>
      <c r="G395" s="7">
        <f t="shared" si="15"/>
        <v>63.4</v>
      </c>
    </row>
    <row r="396" spans="1:7">
      <c r="A396" s="7" t="s">
        <v>35</v>
      </c>
      <c r="B396" s="7" t="str">
        <f>"223410023822"</f>
        <v>223410023822</v>
      </c>
      <c r="C396" s="7">
        <v>71.5</v>
      </c>
      <c r="D396" s="7">
        <v>50</v>
      </c>
      <c r="E396" s="7">
        <f t="shared" si="14"/>
        <v>62.9</v>
      </c>
      <c r="F396" s="7"/>
      <c r="G396" s="7">
        <f t="shared" si="15"/>
        <v>62.9</v>
      </c>
    </row>
    <row r="397" spans="1:7">
      <c r="A397" s="7" t="s">
        <v>35</v>
      </c>
      <c r="B397" s="7" t="str">
        <f>"223410024128"</f>
        <v>223410024128</v>
      </c>
      <c r="C397" s="7">
        <v>67.5</v>
      </c>
      <c r="D397" s="7">
        <v>47.5</v>
      </c>
      <c r="E397" s="7">
        <f t="shared" si="14"/>
        <v>59.5</v>
      </c>
      <c r="F397" s="7"/>
      <c r="G397" s="7">
        <f t="shared" si="15"/>
        <v>59.5</v>
      </c>
    </row>
    <row r="398" spans="1:7">
      <c r="A398" s="7" t="s">
        <v>36</v>
      </c>
      <c r="B398" s="7" t="str">
        <f>"223410010419"</f>
        <v>223410010419</v>
      </c>
      <c r="C398" s="7" t="s">
        <v>9</v>
      </c>
      <c r="D398" s="7" t="s">
        <v>9</v>
      </c>
      <c r="E398" s="7" t="s">
        <v>9</v>
      </c>
      <c r="F398" s="7"/>
      <c r="G398" s="7" t="s">
        <v>9</v>
      </c>
    </row>
    <row r="399" spans="1:7">
      <c r="A399" s="7" t="s">
        <v>36</v>
      </c>
      <c r="B399" s="7" t="str">
        <f>"223410010918"</f>
        <v>223410010918</v>
      </c>
      <c r="C399" s="7" t="s">
        <v>9</v>
      </c>
      <c r="D399" s="7" t="s">
        <v>9</v>
      </c>
      <c r="E399" s="7" t="s">
        <v>9</v>
      </c>
      <c r="F399" s="7"/>
      <c r="G399" s="7" t="s">
        <v>9</v>
      </c>
    </row>
    <row r="400" spans="1:7">
      <c r="A400" s="7" t="s">
        <v>36</v>
      </c>
      <c r="B400" s="7" t="str">
        <f>"223410011012"</f>
        <v>223410011012</v>
      </c>
      <c r="C400" s="7" t="s">
        <v>9</v>
      </c>
      <c r="D400" s="7" t="s">
        <v>9</v>
      </c>
      <c r="E400" s="7" t="s">
        <v>9</v>
      </c>
      <c r="F400" s="7"/>
      <c r="G400" s="7" t="s">
        <v>9</v>
      </c>
    </row>
    <row r="401" spans="1:7">
      <c r="A401" s="7" t="s">
        <v>36</v>
      </c>
      <c r="B401" s="7" t="str">
        <f>"223410011015"</f>
        <v>223410011015</v>
      </c>
      <c r="C401" s="7" t="s">
        <v>9</v>
      </c>
      <c r="D401" s="7" t="s">
        <v>9</v>
      </c>
      <c r="E401" s="7" t="s">
        <v>9</v>
      </c>
      <c r="F401" s="7"/>
      <c r="G401" s="7" t="s">
        <v>9</v>
      </c>
    </row>
    <row r="402" spans="1:7">
      <c r="A402" s="7" t="s">
        <v>36</v>
      </c>
      <c r="B402" s="7" t="str">
        <f>"223410011109"</f>
        <v>223410011109</v>
      </c>
      <c r="C402" s="7" t="s">
        <v>9</v>
      </c>
      <c r="D402" s="7" t="s">
        <v>9</v>
      </c>
      <c r="E402" s="7" t="s">
        <v>9</v>
      </c>
      <c r="F402" s="7"/>
      <c r="G402" s="7" t="s">
        <v>9</v>
      </c>
    </row>
    <row r="403" spans="1:7">
      <c r="A403" s="7" t="s">
        <v>36</v>
      </c>
      <c r="B403" s="7" t="str">
        <f>"223410011128"</f>
        <v>223410011128</v>
      </c>
      <c r="C403" s="7" t="s">
        <v>9</v>
      </c>
      <c r="D403" s="7" t="s">
        <v>9</v>
      </c>
      <c r="E403" s="7" t="s">
        <v>9</v>
      </c>
      <c r="F403" s="7"/>
      <c r="G403" s="7" t="s">
        <v>9</v>
      </c>
    </row>
    <row r="404" spans="1:7">
      <c r="A404" s="7" t="s">
        <v>36</v>
      </c>
      <c r="B404" s="7" t="str">
        <f>"223410011518"</f>
        <v>223410011518</v>
      </c>
      <c r="C404" s="7" t="s">
        <v>9</v>
      </c>
      <c r="D404" s="7" t="s">
        <v>9</v>
      </c>
      <c r="E404" s="7" t="s">
        <v>9</v>
      </c>
      <c r="F404" s="7"/>
      <c r="G404" s="7" t="s">
        <v>9</v>
      </c>
    </row>
    <row r="405" spans="1:7">
      <c r="A405" s="7" t="s">
        <v>36</v>
      </c>
      <c r="B405" s="7" t="str">
        <f>"223410012128"</f>
        <v>223410012128</v>
      </c>
      <c r="C405" s="7" t="s">
        <v>9</v>
      </c>
      <c r="D405" s="7" t="s">
        <v>9</v>
      </c>
      <c r="E405" s="7" t="s">
        <v>9</v>
      </c>
      <c r="F405" s="7"/>
      <c r="G405" s="7" t="s">
        <v>9</v>
      </c>
    </row>
    <row r="406" spans="1:7">
      <c r="A406" s="7" t="s">
        <v>36</v>
      </c>
      <c r="B406" s="7" t="str">
        <f>"223410013326"</f>
        <v>223410013326</v>
      </c>
      <c r="C406" s="7" t="s">
        <v>9</v>
      </c>
      <c r="D406" s="7" t="s">
        <v>9</v>
      </c>
      <c r="E406" s="7" t="s">
        <v>9</v>
      </c>
      <c r="F406" s="7"/>
      <c r="G406" s="7" t="s">
        <v>9</v>
      </c>
    </row>
    <row r="407" spans="1:7">
      <c r="A407" s="7" t="s">
        <v>36</v>
      </c>
      <c r="B407" s="7" t="str">
        <f>"223410012715"</f>
        <v>223410012715</v>
      </c>
      <c r="C407" s="7">
        <v>93</v>
      </c>
      <c r="D407" s="7">
        <v>89.5</v>
      </c>
      <c r="E407" s="7">
        <f t="shared" si="14"/>
        <v>91.6</v>
      </c>
      <c r="F407" s="7"/>
      <c r="G407" s="7">
        <f t="shared" si="15"/>
        <v>91.6</v>
      </c>
    </row>
    <row r="408" spans="1:7">
      <c r="A408" s="7" t="s">
        <v>36</v>
      </c>
      <c r="B408" s="7" t="str">
        <f>"223410012102"</f>
        <v>223410012102</v>
      </c>
      <c r="C408" s="7">
        <v>91</v>
      </c>
      <c r="D408" s="7">
        <v>91</v>
      </c>
      <c r="E408" s="7">
        <f t="shared" si="14"/>
        <v>91</v>
      </c>
      <c r="F408" s="7"/>
      <c r="G408" s="7">
        <f t="shared" si="15"/>
        <v>91</v>
      </c>
    </row>
    <row r="409" spans="1:7">
      <c r="A409" s="7" t="s">
        <v>36</v>
      </c>
      <c r="B409" s="7" t="str">
        <f>"223410011312"</f>
        <v>223410011312</v>
      </c>
      <c r="C409" s="7">
        <v>89</v>
      </c>
      <c r="D409" s="7">
        <v>87</v>
      </c>
      <c r="E409" s="7">
        <f t="shared" si="14"/>
        <v>88.2</v>
      </c>
      <c r="F409" s="7"/>
      <c r="G409" s="7">
        <f t="shared" si="15"/>
        <v>88.2</v>
      </c>
    </row>
    <row r="410" spans="1:7">
      <c r="A410" s="7" t="s">
        <v>36</v>
      </c>
      <c r="B410" s="7" t="str">
        <f>"223410010203"</f>
        <v>223410010203</v>
      </c>
      <c r="C410" s="7">
        <v>89</v>
      </c>
      <c r="D410" s="7">
        <v>86</v>
      </c>
      <c r="E410" s="7">
        <f t="shared" si="14"/>
        <v>87.8</v>
      </c>
      <c r="F410" s="7"/>
      <c r="G410" s="7">
        <f t="shared" si="15"/>
        <v>87.8</v>
      </c>
    </row>
    <row r="411" spans="1:7">
      <c r="A411" s="7" t="s">
        <v>36</v>
      </c>
      <c r="B411" s="7" t="str">
        <f>"223410012219"</f>
        <v>223410012219</v>
      </c>
      <c r="C411" s="7">
        <v>86</v>
      </c>
      <c r="D411" s="7">
        <v>89</v>
      </c>
      <c r="E411" s="7">
        <f t="shared" si="14"/>
        <v>87.2</v>
      </c>
      <c r="F411" s="7"/>
      <c r="G411" s="7">
        <f t="shared" si="15"/>
        <v>87.2</v>
      </c>
    </row>
    <row r="412" spans="1:7">
      <c r="A412" s="7" t="s">
        <v>36</v>
      </c>
      <c r="B412" s="7" t="str">
        <f>"223410012226"</f>
        <v>223410012226</v>
      </c>
      <c r="C412" s="7">
        <v>86</v>
      </c>
      <c r="D412" s="7">
        <v>88</v>
      </c>
      <c r="E412" s="7">
        <f t="shared" si="14"/>
        <v>86.8</v>
      </c>
      <c r="F412" s="7"/>
      <c r="G412" s="7">
        <f t="shared" si="15"/>
        <v>86.8</v>
      </c>
    </row>
    <row r="413" spans="1:7">
      <c r="A413" s="7" t="s">
        <v>36</v>
      </c>
      <c r="B413" s="7" t="str">
        <f>"223410012829"</f>
        <v>223410012829</v>
      </c>
      <c r="C413" s="7">
        <v>86</v>
      </c>
      <c r="D413" s="7">
        <v>88</v>
      </c>
      <c r="E413" s="7">
        <f t="shared" si="14"/>
        <v>86.8</v>
      </c>
      <c r="F413" s="7"/>
      <c r="G413" s="7">
        <f t="shared" si="15"/>
        <v>86.8</v>
      </c>
    </row>
    <row r="414" spans="1:7">
      <c r="A414" s="7" t="s">
        <v>36</v>
      </c>
      <c r="B414" s="7" t="str">
        <f>"223410011101"</f>
        <v>223410011101</v>
      </c>
      <c r="C414" s="7">
        <v>94</v>
      </c>
      <c r="D414" s="7">
        <v>76</v>
      </c>
      <c r="E414" s="7">
        <f t="shared" si="14"/>
        <v>86.8</v>
      </c>
      <c r="F414" s="7"/>
      <c r="G414" s="7">
        <f t="shared" si="15"/>
        <v>86.8</v>
      </c>
    </row>
    <row r="415" spans="1:7">
      <c r="A415" s="7" t="s">
        <v>36</v>
      </c>
      <c r="B415" s="7" t="str">
        <f>"223410012119"</f>
        <v>223410012119</v>
      </c>
      <c r="C415" s="7">
        <v>87</v>
      </c>
      <c r="D415" s="7">
        <v>86</v>
      </c>
      <c r="E415" s="7">
        <f t="shared" si="14"/>
        <v>86.6</v>
      </c>
      <c r="F415" s="7"/>
      <c r="G415" s="7">
        <f t="shared" si="15"/>
        <v>86.6</v>
      </c>
    </row>
    <row r="416" spans="1:7">
      <c r="A416" s="7" t="s">
        <v>36</v>
      </c>
      <c r="B416" s="7" t="str">
        <f>"223410010413"</f>
        <v>223410010413</v>
      </c>
      <c r="C416" s="7">
        <v>89</v>
      </c>
      <c r="D416" s="7">
        <v>79</v>
      </c>
      <c r="E416" s="7">
        <f t="shared" si="14"/>
        <v>85</v>
      </c>
      <c r="F416" s="7"/>
      <c r="G416" s="7">
        <f t="shared" si="15"/>
        <v>85</v>
      </c>
    </row>
    <row r="417" spans="1:7">
      <c r="A417" s="7" t="s">
        <v>36</v>
      </c>
      <c r="B417" s="7" t="str">
        <f>"223410012126"</f>
        <v>223410012126</v>
      </c>
      <c r="C417" s="7">
        <v>80</v>
      </c>
      <c r="D417" s="7">
        <v>91</v>
      </c>
      <c r="E417" s="7">
        <f t="shared" si="14"/>
        <v>84.4</v>
      </c>
      <c r="F417" s="7"/>
      <c r="G417" s="7">
        <f t="shared" si="15"/>
        <v>84.4</v>
      </c>
    </row>
    <row r="418" spans="1:7">
      <c r="A418" s="7" t="s">
        <v>36</v>
      </c>
      <c r="B418" s="7" t="str">
        <f>"223410011302"</f>
        <v>223410011302</v>
      </c>
      <c r="C418" s="7">
        <v>86</v>
      </c>
      <c r="D418" s="7">
        <v>80</v>
      </c>
      <c r="E418" s="7">
        <f t="shared" si="14"/>
        <v>83.6</v>
      </c>
      <c r="F418" s="7"/>
      <c r="G418" s="7">
        <f t="shared" si="15"/>
        <v>83.6</v>
      </c>
    </row>
    <row r="419" spans="1:7">
      <c r="A419" s="7" t="s">
        <v>36</v>
      </c>
      <c r="B419" s="7" t="str">
        <f>"223410011822"</f>
        <v>223410011822</v>
      </c>
      <c r="C419" s="7">
        <v>86</v>
      </c>
      <c r="D419" s="7">
        <v>80</v>
      </c>
      <c r="E419" s="7">
        <f t="shared" si="14"/>
        <v>83.6</v>
      </c>
      <c r="F419" s="7"/>
      <c r="G419" s="7">
        <f t="shared" si="15"/>
        <v>83.6</v>
      </c>
    </row>
    <row r="420" spans="1:7">
      <c r="A420" s="7" t="s">
        <v>36</v>
      </c>
      <c r="B420" s="7" t="str">
        <f>"223410013026"</f>
        <v>223410013026</v>
      </c>
      <c r="C420" s="7">
        <v>86</v>
      </c>
      <c r="D420" s="7">
        <v>80</v>
      </c>
      <c r="E420" s="7">
        <f t="shared" si="14"/>
        <v>83.6</v>
      </c>
      <c r="F420" s="7"/>
      <c r="G420" s="7">
        <f t="shared" si="15"/>
        <v>83.6</v>
      </c>
    </row>
    <row r="421" spans="1:7">
      <c r="A421" s="7" t="s">
        <v>36</v>
      </c>
      <c r="B421" s="7" t="str">
        <f>"223410013227"</f>
        <v>223410013227</v>
      </c>
      <c r="C421" s="7">
        <v>80</v>
      </c>
      <c r="D421" s="7">
        <v>83.5</v>
      </c>
      <c r="E421" s="7">
        <f t="shared" si="14"/>
        <v>81.4</v>
      </c>
      <c r="F421" s="7"/>
      <c r="G421" s="7">
        <f t="shared" si="15"/>
        <v>81.4</v>
      </c>
    </row>
    <row r="422" spans="1:7">
      <c r="A422" s="7" t="s">
        <v>36</v>
      </c>
      <c r="B422" s="7" t="str">
        <f>"223410011129"</f>
        <v>223410011129</v>
      </c>
      <c r="C422" s="7">
        <v>88</v>
      </c>
      <c r="D422" s="7">
        <v>70</v>
      </c>
      <c r="E422" s="7">
        <f t="shared" si="14"/>
        <v>80.8</v>
      </c>
      <c r="F422" s="7"/>
      <c r="G422" s="7">
        <f t="shared" si="15"/>
        <v>80.8</v>
      </c>
    </row>
    <row r="423" spans="1:7">
      <c r="A423" s="7" t="s">
        <v>36</v>
      </c>
      <c r="B423" s="7" t="str">
        <f>"223410013222"</f>
        <v>223410013222</v>
      </c>
      <c r="C423" s="7">
        <v>89</v>
      </c>
      <c r="D423" s="7">
        <v>68</v>
      </c>
      <c r="E423" s="7">
        <f t="shared" si="14"/>
        <v>80.6</v>
      </c>
      <c r="F423" s="7"/>
      <c r="G423" s="7">
        <f t="shared" si="15"/>
        <v>80.6</v>
      </c>
    </row>
    <row r="424" spans="1:7">
      <c r="A424" s="7" t="s">
        <v>36</v>
      </c>
      <c r="B424" s="7" t="str">
        <f>"223410010802"</f>
        <v>223410010802</v>
      </c>
      <c r="C424" s="7">
        <v>86</v>
      </c>
      <c r="D424" s="7">
        <v>71.5</v>
      </c>
      <c r="E424" s="7">
        <f t="shared" si="14"/>
        <v>80.2</v>
      </c>
      <c r="F424" s="7"/>
      <c r="G424" s="7">
        <f t="shared" si="15"/>
        <v>80.2</v>
      </c>
    </row>
    <row r="425" spans="1:7">
      <c r="A425" s="7" t="s">
        <v>36</v>
      </c>
      <c r="B425" s="7" t="str">
        <f>"223410011413"</f>
        <v>223410011413</v>
      </c>
      <c r="C425" s="7">
        <v>85</v>
      </c>
      <c r="D425" s="7">
        <v>71.5</v>
      </c>
      <c r="E425" s="7">
        <f t="shared" si="14"/>
        <v>79.6</v>
      </c>
      <c r="F425" s="7"/>
      <c r="G425" s="7">
        <f t="shared" si="15"/>
        <v>79.6</v>
      </c>
    </row>
    <row r="426" spans="1:7">
      <c r="A426" s="7" t="s">
        <v>36</v>
      </c>
      <c r="B426" s="7" t="str">
        <f>"223410012412"</f>
        <v>223410012412</v>
      </c>
      <c r="C426" s="7">
        <v>90</v>
      </c>
      <c r="D426" s="7">
        <v>64</v>
      </c>
      <c r="E426" s="7">
        <f t="shared" si="14"/>
        <v>79.6</v>
      </c>
      <c r="F426" s="7"/>
      <c r="G426" s="7">
        <f t="shared" si="15"/>
        <v>79.6</v>
      </c>
    </row>
    <row r="427" spans="1:7">
      <c r="A427" s="7" t="s">
        <v>36</v>
      </c>
      <c r="B427" s="7" t="str">
        <f>"223410012113"</f>
        <v>223410012113</v>
      </c>
      <c r="C427" s="7">
        <v>77</v>
      </c>
      <c r="D427" s="7">
        <v>82</v>
      </c>
      <c r="E427" s="7">
        <f t="shared" si="14"/>
        <v>79</v>
      </c>
      <c r="F427" s="7"/>
      <c r="G427" s="7">
        <f t="shared" si="15"/>
        <v>79</v>
      </c>
    </row>
    <row r="428" spans="1:7">
      <c r="A428" s="7" t="s">
        <v>36</v>
      </c>
      <c r="B428" s="7" t="str">
        <f>"223410012329"</f>
        <v>223410012329</v>
      </c>
      <c r="C428" s="7">
        <v>81</v>
      </c>
      <c r="D428" s="7">
        <v>74.5</v>
      </c>
      <c r="E428" s="7">
        <f t="shared" si="14"/>
        <v>78.4</v>
      </c>
      <c r="F428" s="7"/>
      <c r="G428" s="7">
        <f t="shared" si="15"/>
        <v>78.4</v>
      </c>
    </row>
    <row r="429" spans="1:7">
      <c r="A429" s="7" t="s">
        <v>36</v>
      </c>
      <c r="B429" s="7" t="str">
        <f>"223410011214"</f>
        <v>223410011214</v>
      </c>
      <c r="C429" s="7">
        <v>81</v>
      </c>
      <c r="D429" s="7">
        <v>74</v>
      </c>
      <c r="E429" s="7">
        <f t="shared" si="14"/>
        <v>78.2</v>
      </c>
      <c r="F429" s="7"/>
      <c r="G429" s="7">
        <f t="shared" si="15"/>
        <v>78.2</v>
      </c>
    </row>
    <row r="430" spans="1:7">
      <c r="A430" s="7" t="s">
        <v>36</v>
      </c>
      <c r="B430" s="7" t="str">
        <f>"223410012402"</f>
        <v>223410012402</v>
      </c>
      <c r="C430" s="7">
        <v>86</v>
      </c>
      <c r="D430" s="7">
        <v>66</v>
      </c>
      <c r="E430" s="7">
        <f t="shared" si="14"/>
        <v>78</v>
      </c>
      <c r="F430" s="7"/>
      <c r="G430" s="7">
        <f t="shared" si="15"/>
        <v>78</v>
      </c>
    </row>
    <row r="431" spans="1:7">
      <c r="A431" s="7" t="s">
        <v>36</v>
      </c>
      <c r="B431" s="7" t="str">
        <f>"223410012729"</f>
        <v>223410012729</v>
      </c>
      <c r="C431" s="7">
        <v>79</v>
      </c>
      <c r="D431" s="7">
        <v>76.5</v>
      </c>
      <c r="E431" s="7">
        <f t="shared" si="14"/>
        <v>78</v>
      </c>
      <c r="F431" s="7"/>
      <c r="G431" s="7">
        <f t="shared" si="15"/>
        <v>78</v>
      </c>
    </row>
    <row r="432" spans="1:7">
      <c r="A432" s="7" t="s">
        <v>36</v>
      </c>
      <c r="B432" s="7" t="str">
        <f>"223410012724"</f>
        <v>223410012724</v>
      </c>
      <c r="C432" s="7">
        <v>82</v>
      </c>
      <c r="D432" s="7">
        <v>69</v>
      </c>
      <c r="E432" s="7">
        <f t="shared" si="14"/>
        <v>76.8</v>
      </c>
      <c r="F432" s="7"/>
      <c r="G432" s="7">
        <f t="shared" si="15"/>
        <v>76.8</v>
      </c>
    </row>
    <row r="433" spans="1:7">
      <c r="A433" s="7" t="s">
        <v>36</v>
      </c>
      <c r="B433" s="7" t="str">
        <f>"223410013330"</f>
        <v>223410013330</v>
      </c>
      <c r="C433" s="7">
        <v>80</v>
      </c>
      <c r="D433" s="7">
        <v>72</v>
      </c>
      <c r="E433" s="7">
        <f t="shared" si="14"/>
        <v>76.8</v>
      </c>
      <c r="F433" s="7"/>
      <c r="G433" s="7">
        <f t="shared" si="15"/>
        <v>76.8</v>
      </c>
    </row>
    <row r="434" spans="1:7">
      <c r="A434" s="7" t="s">
        <v>36</v>
      </c>
      <c r="B434" s="7" t="str">
        <f>"223410010425"</f>
        <v>223410010425</v>
      </c>
      <c r="C434" s="7">
        <v>77</v>
      </c>
      <c r="D434" s="7">
        <v>76</v>
      </c>
      <c r="E434" s="7">
        <f t="shared" si="14"/>
        <v>76.6</v>
      </c>
      <c r="F434" s="7"/>
      <c r="G434" s="7">
        <f t="shared" si="15"/>
        <v>76.6</v>
      </c>
    </row>
    <row r="435" spans="1:7">
      <c r="A435" s="7" t="s">
        <v>36</v>
      </c>
      <c r="B435" s="7" t="str">
        <f>"223410013117"</f>
        <v>223410013117</v>
      </c>
      <c r="C435" s="7">
        <v>80</v>
      </c>
      <c r="D435" s="7">
        <v>71</v>
      </c>
      <c r="E435" s="7">
        <f t="shared" si="14"/>
        <v>76.4</v>
      </c>
      <c r="F435" s="7"/>
      <c r="G435" s="7">
        <f t="shared" si="15"/>
        <v>76.4</v>
      </c>
    </row>
    <row r="436" spans="1:7">
      <c r="A436" s="7" t="s">
        <v>36</v>
      </c>
      <c r="B436" s="7" t="str">
        <f>"223410011321"</f>
        <v>223410011321</v>
      </c>
      <c r="C436" s="7">
        <v>77</v>
      </c>
      <c r="D436" s="7">
        <v>73.5</v>
      </c>
      <c r="E436" s="7">
        <f t="shared" si="14"/>
        <v>75.6</v>
      </c>
      <c r="F436" s="7"/>
      <c r="G436" s="7">
        <f t="shared" si="15"/>
        <v>75.6</v>
      </c>
    </row>
    <row r="437" spans="1:7">
      <c r="A437" s="7" t="s">
        <v>36</v>
      </c>
      <c r="B437" s="7" t="str">
        <f>"223410013115"</f>
        <v>223410013115</v>
      </c>
      <c r="C437" s="7">
        <v>72</v>
      </c>
      <c r="D437" s="7">
        <v>79.5</v>
      </c>
      <c r="E437" s="7">
        <f t="shared" si="14"/>
        <v>75</v>
      </c>
      <c r="F437" s="7"/>
      <c r="G437" s="7">
        <f t="shared" si="15"/>
        <v>75</v>
      </c>
    </row>
    <row r="438" spans="1:7">
      <c r="A438" s="7" t="s">
        <v>36</v>
      </c>
      <c r="B438" s="7" t="str">
        <f>"223410011808"</f>
        <v>223410011808</v>
      </c>
      <c r="C438" s="7">
        <v>86</v>
      </c>
      <c r="D438" s="7">
        <v>55</v>
      </c>
      <c r="E438" s="7">
        <f t="shared" si="14"/>
        <v>73.6</v>
      </c>
      <c r="F438" s="7"/>
      <c r="G438" s="7">
        <f t="shared" si="15"/>
        <v>73.6</v>
      </c>
    </row>
    <row r="439" spans="1:7">
      <c r="A439" s="7" t="s">
        <v>36</v>
      </c>
      <c r="B439" s="7" t="str">
        <f>"223410011111"</f>
        <v>223410011111</v>
      </c>
      <c r="C439" s="7">
        <v>78</v>
      </c>
      <c r="D439" s="7">
        <v>62</v>
      </c>
      <c r="E439" s="7">
        <f t="shared" si="14"/>
        <v>71.6</v>
      </c>
      <c r="F439" s="7"/>
      <c r="G439" s="7">
        <f t="shared" si="15"/>
        <v>71.6</v>
      </c>
    </row>
    <row r="440" spans="1:7">
      <c r="A440" s="7" t="s">
        <v>36</v>
      </c>
      <c r="B440" s="7" t="str">
        <f>"223410011921"</f>
        <v>223410011921</v>
      </c>
      <c r="C440" s="7">
        <v>81</v>
      </c>
      <c r="D440" s="7">
        <v>57</v>
      </c>
      <c r="E440" s="7">
        <f t="shared" si="14"/>
        <v>71.4</v>
      </c>
      <c r="F440" s="7"/>
      <c r="G440" s="7">
        <f t="shared" si="15"/>
        <v>71.4</v>
      </c>
    </row>
    <row r="441" spans="1:7">
      <c r="A441" s="7" t="s">
        <v>36</v>
      </c>
      <c r="B441" s="7" t="str">
        <f>"223410010628"</f>
        <v>223410010628</v>
      </c>
      <c r="C441" s="7">
        <v>75</v>
      </c>
      <c r="D441" s="7">
        <v>64</v>
      </c>
      <c r="E441" s="7">
        <f t="shared" si="14"/>
        <v>70.6</v>
      </c>
      <c r="F441" s="7"/>
      <c r="G441" s="7">
        <f t="shared" si="15"/>
        <v>70.6</v>
      </c>
    </row>
    <row r="442" spans="1:7">
      <c r="A442" s="7" t="s">
        <v>36</v>
      </c>
      <c r="B442" s="7" t="str">
        <f>"223410013316"</f>
        <v>223410013316</v>
      </c>
      <c r="C442" s="7">
        <v>68</v>
      </c>
      <c r="D442" s="7">
        <v>72</v>
      </c>
      <c r="E442" s="7">
        <f t="shared" si="14"/>
        <v>69.6</v>
      </c>
      <c r="F442" s="7"/>
      <c r="G442" s="7">
        <f t="shared" si="15"/>
        <v>69.6</v>
      </c>
    </row>
    <row r="443" spans="1:7">
      <c r="A443" s="7" t="s">
        <v>36</v>
      </c>
      <c r="B443" s="7" t="str">
        <f>"223410011830"</f>
        <v>223410011830</v>
      </c>
      <c r="C443" s="7">
        <v>72</v>
      </c>
      <c r="D443" s="7">
        <v>62</v>
      </c>
      <c r="E443" s="7">
        <f t="shared" si="14"/>
        <v>68</v>
      </c>
      <c r="F443" s="7"/>
      <c r="G443" s="7">
        <f t="shared" si="15"/>
        <v>68</v>
      </c>
    </row>
    <row r="444" spans="1:7">
      <c r="A444" s="7" t="s">
        <v>36</v>
      </c>
      <c r="B444" s="7" t="str">
        <f>"223410012716"</f>
        <v>223410012716</v>
      </c>
      <c r="C444" s="7">
        <v>77</v>
      </c>
      <c r="D444" s="7">
        <v>54</v>
      </c>
      <c r="E444" s="7">
        <f t="shared" si="14"/>
        <v>67.8</v>
      </c>
      <c r="F444" s="7"/>
      <c r="G444" s="7">
        <f t="shared" si="15"/>
        <v>67.8</v>
      </c>
    </row>
    <row r="445" spans="1:7">
      <c r="A445" s="7" t="s">
        <v>36</v>
      </c>
      <c r="B445" s="7" t="str">
        <f>"223410011814"</f>
        <v>223410011814</v>
      </c>
      <c r="C445" s="7">
        <v>70</v>
      </c>
      <c r="D445" s="7">
        <v>64</v>
      </c>
      <c r="E445" s="7">
        <f t="shared" si="14"/>
        <v>67.6</v>
      </c>
      <c r="F445" s="7"/>
      <c r="G445" s="7">
        <f t="shared" si="15"/>
        <v>67.6</v>
      </c>
    </row>
    <row r="446" spans="1:7">
      <c r="A446" s="7" t="s">
        <v>36</v>
      </c>
      <c r="B446" s="7" t="str">
        <f>"223410013012"</f>
        <v>223410013012</v>
      </c>
      <c r="C446" s="7">
        <v>75</v>
      </c>
      <c r="D446" s="7">
        <v>56.5</v>
      </c>
      <c r="E446" s="7">
        <f t="shared" si="14"/>
        <v>67.6</v>
      </c>
      <c r="F446" s="7"/>
      <c r="G446" s="7">
        <f t="shared" si="15"/>
        <v>67.6</v>
      </c>
    </row>
    <row r="447" spans="1:7">
      <c r="A447" s="7" t="s">
        <v>36</v>
      </c>
      <c r="B447" s="7" t="str">
        <f>"223410011628"</f>
        <v>223410011628</v>
      </c>
      <c r="C447" s="7">
        <v>76</v>
      </c>
      <c r="D447" s="7">
        <v>54</v>
      </c>
      <c r="E447" s="7">
        <f t="shared" si="14"/>
        <v>67.2</v>
      </c>
      <c r="F447" s="7"/>
      <c r="G447" s="7">
        <f t="shared" si="15"/>
        <v>67.2</v>
      </c>
    </row>
    <row r="448" spans="1:7">
      <c r="A448" s="7" t="s">
        <v>36</v>
      </c>
      <c r="B448" s="7" t="str">
        <f>"223410010914"</f>
        <v>223410010914</v>
      </c>
      <c r="C448" s="7">
        <v>69</v>
      </c>
      <c r="D448" s="7">
        <v>58</v>
      </c>
      <c r="E448" s="7">
        <f t="shared" si="14"/>
        <v>64.6</v>
      </c>
      <c r="F448" s="7"/>
      <c r="G448" s="7">
        <f t="shared" si="15"/>
        <v>64.6</v>
      </c>
    </row>
    <row r="449" spans="1:7">
      <c r="A449" s="7" t="s">
        <v>36</v>
      </c>
      <c r="B449" s="7" t="str">
        <f>"223410010130"</f>
        <v>223410010130</v>
      </c>
      <c r="C449" s="7">
        <v>74</v>
      </c>
      <c r="D449" s="7">
        <v>50</v>
      </c>
      <c r="E449" s="7">
        <f t="shared" si="14"/>
        <v>64.4</v>
      </c>
      <c r="F449" s="7"/>
      <c r="G449" s="7">
        <f t="shared" si="15"/>
        <v>64.4</v>
      </c>
    </row>
    <row r="450" spans="1:7">
      <c r="A450" s="7" t="s">
        <v>36</v>
      </c>
      <c r="B450" s="7" t="str">
        <f>"223410013422"</f>
        <v>223410013422</v>
      </c>
      <c r="C450" s="7">
        <v>69</v>
      </c>
      <c r="D450" s="7">
        <v>50</v>
      </c>
      <c r="E450" s="7">
        <f t="shared" si="14"/>
        <v>61.4</v>
      </c>
      <c r="F450" s="7"/>
      <c r="G450" s="7">
        <f t="shared" si="15"/>
        <v>61.4</v>
      </c>
    </row>
    <row r="451" spans="1:7">
      <c r="A451" s="7" t="s">
        <v>36</v>
      </c>
      <c r="B451" s="7" t="str">
        <f>"223410010229"</f>
        <v>223410010229</v>
      </c>
      <c r="C451" s="7">
        <v>69</v>
      </c>
      <c r="D451" s="7">
        <v>46</v>
      </c>
      <c r="E451" s="7">
        <f t="shared" ref="E451:E520" si="16">C451*0.6+D451*0.4</f>
        <v>59.8</v>
      </c>
      <c r="F451" s="7"/>
      <c r="G451" s="7">
        <f t="shared" si="15"/>
        <v>59.8</v>
      </c>
    </row>
    <row r="452" spans="1:7">
      <c r="A452" s="7" t="s">
        <v>37</v>
      </c>
      <c r="B452" s="7" t="str">
        <f>"223410020321"</f>
        <v>223410020321</v>
      </c>
      <c r="C452" s="7" t="s">
        <v>9</v>
      </c>
      <c r="D452" s="7" t="s">
        <v>9</v>
      </c>
      <c r="E452" s="7" t="s">
        <v>9</v>
      </c>
      <c r="F452" s="7"/>
      <c r="G452" s="7" t="s">
        <v>9</v>
      </c>
    </row>
    <row r="453" spans="1:7">
      <c r="A453" s="7" t="s">
        <v>37</v>
      </c>
      <c r="B453" s="7" t="str">
        <f>"223410020522"</f>
        <v>223410020522</v>
      </c>
      <c r="C453" s="7" t="s">
        <v>9</v>
      </c>
      <c r="D453" s="7" t="s">
        <v>9</v>
      </c>
      <c r="E453" s="7" t="s">
        <v>9</v>
      </c>
      <c r="F453" s="7"/>
      <c r="G453" s="7" t="s">
        <v>9</v>
      </c>
    </row>
    <row r="454" spans="1:7">
      <c r="A454" s="7" t="s">
        <v>37</v>
      </c>
      <c r="B454" s="7" t="str">
        <f>"223410020526"</f>
        <v>223410020526</v>
      </c>
      <c r="C454" s="7" t="s">
        <v>9</v>
      </c>
      <c r="D454" s="7" t="s">
        <v>9</v>
      </c>
      <c r="E454" s="7" t="s">
        <v>9</v>
      </c>
      <c r="F454" s="7"/>
      <c r="G454" s="7" t="s">
        <v>9</v>
      </c>
    </row>
    <row r="455" spans="1:7">
      <c r="A455" s="7" t="s">
        <v>37</v>
      </c>
      <c r="B455" s="7" t="str">
        <f>"223410021202"</f>
        <v>223410021202</v>
      </c>
      <c r="C455" s="7" t="s">
        <v>9</v>
      </c>
      <c r="D455" s="7" t="s">
        <v>9</v>
      </c>
      <c r="E455" s="7" t="s">
        <v>9</v>
      </c>
      <c r="F455" s="7"/>
      <c r="G455" s="7" t="s">
        <v>9</v>
      </c>
    </row>
    <row r="456" spans="1:7">
      <c r="A456" s="7" t="s">
        <v>37</v>
      </c>
      <c r="B456" s="7" t="str">
        <f>"223410021613"</f>
        <v>223410021613</v>
      </c>
      <c r="C456" s="7" t="s">
        <v>9</v>
      </c>
      <c r="D456" s="7" t="s">
        <v>9</v>
      </c>
      <c r="E456" s="7" t="s">
        <v>9</v>
      </c>
      <c r="F456" s="7"/>
      <c r="G456" s="7" t="s">
        <v>9</v>
      </c>
    </row>
    <row r="457" spans="1:7">
      <c r="A457" s="7" t="s">
        <v>37</v>
      </c>
      <c r="B457" s="7" t="str">
        <f>"223410022028"</f>
        <v>223410022028</v>
      </c>
      <c r="C457" s="7">
        <v>110</v>
      </c>
      <c r="D457" s="7">
        <v>82</v>
      </c>
      <c r="E457" s="7">
        <f t="shared" si="16"/>
        <v>98.8</v>
      </c>
      <c r="F457" s="7"/>
      <c r="G457" s="7">
        <f t="shared" ref="G454:G520" si="17">E457+F457</f>
        <v>98.8</v>
      </c>
    </row>
    <row r="458" spans="1:7">
      <c r="A458" s="7" t="s">
        <v>37</v>
      </c>
      <c r="B458" s="7" t="str">
        <f>"223410020906"</f>
        <v>223410020906</v>
      </c>
      <c r="C458" s="7">
        <v>104</v>
      </c>
      <c r="D458" s="7">
        <v>82</v>
      </c>
      <c r="E458" s="7">
        <f t="shared" si="16"/>
        <v>95.2</v>
      </c>
      <c r="F458" s="7"/>
      <c r="G458" s="7">
        <f t="shared" si="17"/>
        <v>95.2</v>
      </c>
    </row>
    <row r="459" spans="1:7">
      <c r="A459" s="7" t="s">
        <v>37</v>
      </c>
      <c r="B459" s="7" t="str">
        <f>"223410020518"</f>
        <v>223410020518</v>
      </c>
      <c r="C459" s="7">
        <v>93</v>
      </c>
      <c r="D459" s="7">
        <v>88</v>
      </c>
      <c r="E459" s="7">
        <f t="shared" si="16"/>
        <v>91</v>
      </c>
      <c r="F459" s="7"/>
      <c r="G459" s="7">
        <f t="shared" si="17"/>
        <v>91</v>
      </c>
    </row>
    <row r="460" spans="1:7">
      <c r="A460" s="7" t="s">
        <v>37</v>
      </c>
      <c r="B460" s="7" t="str">
        <f>"223410020830"</f>
        <v>223410020830</v>
      </c>
      <c r="C460" s="7">
        <v>89</v>
      </c>
      <c r="D460" s="7">
        <v>92.5</v>
      </c>
      <c r="E460" s="7">
        <f t="shared" si="16"/>
        <v>90.4</v>
      </c>
      <c r="F460" s="7"/>
      <c r="G460" s="7">
        <f t="shared" si="17"/>
        <v>90.4</v>
      </c>
    </row>
    <row r="461" spans="1:7">
      <c r="A461" s="7" t="s">
        <v>37</v>
      </c>
      <c r="B461" s="7" t="str">
        <f>"223410022209"</f>
        <v>223410022209</v>
      </c>
      <c r="C461" s="7">
        <v>103.5</v>
      </c>
      <c r="D461" s="7">
        <v>65</v>
      </c>
      <c r="E461" s="7">
        <f t="shared" si="16"/>
        <v>88.1</v>
      </c>
      <c r="F461" s="7"/>
      <c r="G461" s="7">
        <f t="shared" si="17"/>
        <v>88.1</v>
      </c>
    </row>
    <row r="462" spans="1:7">
      <c r="A462" s="7" t="s">
        <v>37</v>
      </c>
      <c r="B462" s="7" t="str">
        <f>"223410020617"</f>
        <v>223410020617</v>
      </c>
      <c r="C462" s="7">
        <v>91</v>
      </c>
      <c r="D462" s="7">
        <v>79</v>
      </c>
      <c r="E462" s="7">
        <f t="shared" si="16"/>
        <v>86.2</v>
      </c>
      <c r="F462" s="7"/>
      <c r="G462" s="7">
        <f t="shared" si="17"/>
        <v>86.2</v>
      </c>
    </row>
    <row r="463" spans="1:7">
      <c r="A463" s="7" t="s">
        <v>37</v>
      </c>
      <c r="B463" s="7" t="str">
        <f>"223410020514"</f>
        <v>223410020514</v>
      </c>
      <c r="C463" s="7">
        <v>85</v>
      </c>
      <c r="D463" s="7">
        <v>87.5</v>
      </c>
      <c r="E463" s="7">
        <f t="shared" si="16"/>
        <v>86</v>
      </c>
      <c r="F463" s="7"/>
      <c r="G463" s="7">
        <f t="shared" si="17"/>
        <v>86</v>
      </c>
    </row>
    <row r="464" spans="1:7">
      <c r="A464" s="7" t="s">
        <v>37</v>
      </c>
      <c r="B464" s="7" t="str">
        <f>"223410021713"</f>
        <v>223410021713</v>
      </c>
      <c r="C464" s="7">
        <v>95.5</v>
      </c>
      <c r="D464" s="7">
        <v>71.5</v>
      </c>
      <c r="E464" s="7">
        <f t="shared" si="16"/>
        <v>85.9</v>
      </c>
      <c r="F464" s="7"/>
      <c r="G464" s="7">
        <f t="shared" si="17"/>
        <v>85.9</v>
      </c>
    </row>
    <row r="465" spans="1:7">
      <c r="A465" s="7" t="s">
        <v>37</v>
      </c>
      <c r="B465" s="7" t="str">
        <f>"223410021605"</f>
        <v>223410021605</v>
      </c>
      <c r="C465" s="7">
        <v>92</v>
      </c>
      <c r="D465" s="7">
        <v>75.5</v>
      </c>
      <c r="E465" s="7">
        <f t="shared" si="16"/>
        <v>85.4</v>
      </c>
      <c r="F465" s="7"/>
      <c r="G465" s="7">
        <f t="shared" si="17"/>
        <v>85.4</v>
      </c>
    </row>
    <row r="466" spans="1:7">
      <c r="A466" s="7" t="s">
        <v>37</v>
      </c>
      <c r="B466" s="7" t="str">
        <f>"223410021625"</f>
        <v>223410021625</v>
      </c>
      <c r="C466" s="7">
        <v>96</v>
      </c>
      <c r="D466" s="7">
        <v>69</v>
      </c>
      <c r="E466" s="7">
        <f t="shared" si="16"/>
        <v>85.2</v>
      </c>
      <c r="F466" s="7"/>
      <c r="G466" s="7">
        <f t="shared" si="17"/>
        <v>85.2</v>
      </c>
    </row>
    <row r="467" spans="1:7">
      <c r="A467" s="7" t="s">
        <v>37</v>
      </c>
      <c r="B467" s="7" t="str">
        <f>"223410021507"</f>
        <v>223410021507</v>
      </c>
      <c r="C467" s="7">
        <v>97</v>
      </c>
      <c r="D467" s="7">
        <v>66.5</v>
      </c>
      <c r="E467" s="7">
        <f t="shared" si="16"/>
        <v>84.8</v>
      </c>
      <c r="F467" s="7"/>
      <c r="G467" s="7">
        <f t="shared" si="17"/>
        <v>84.8</v>
      </c>
    </row>
    <row r="468" spans="1:7">
      <c r="A468" s="7" t="s">
        <v>37</v>
      </c>
      <c r="B468" s="7" t="str">
        <f>"223410022123"</f>
        <v>223410022123</v>
      </c>
      <c r="C468" s="7">
        <v>91</v>
      </c>
      <c r="D468" s="7">
        <v>73</v>
      </c>
      <c r="E468" s="7">
        <f t="shared" si="16"/>
        <v>83.8</v>
      </c>
      <c r="F468" s="7"/>
      <c r="G468" s="7">
        <f t="shared" si="17"/>
        <v>83.8</v>
      </c>
    </row>
    <row r="469" spans="1:7">
      <c r="A469" s="7" t="s">
        <v>37</v>
      </c>
      <c r="B469" s="7" t="str">
        <f>"223410020813"</f>
        <v>223410020813</v>
      </c>
      <c r="C469" s="7">
        <v>86</v>
      </c>
      <c r="D469" s="7">
        <v>63.5</v>
      </c>
      <c r="E469" s="7">
        <f t="shared" si="16"/>
        <v>77</v>
      </c>
      <c r="F469" s="7"/>
      <c r="G469" s="7">
        <f t="shared" si="17"/>
        <v>77</v>
      </c>
    </row>
    <row r="470" spans="1:7">
      <c r="A470" s="7" t="s">
        <v>37</v>
      </c>
      <c r="B470" s="7" t="str">
        <f>"223410021517"</f>
        <v>223410021517</v>
      </c>
      <c r="C470" s="7">
        <v>74.5</v>
      </c>
      <c r="D470" s="7">
        <v>79.5</v>
      </c>
      <c r="E470" s="7">
        <f t="shared" si="16"/>
        <v>76.5</v>
      </c>
      <c r="F470" s="7"/>
      <c r="G470" s="7">
        <f t="shared" si="17"/>
        <v>76.5</v>
      </c>
    </row>
    <row r="471" spans="1:7">
      <c r="A471" s="7" t="s">
        <v>37</v>
      </c>
      <c r="B471" s="7" t="str">
        <f>"223410021930"</f>
        <v>223410021930</v>
      </c>
      <c r="C471" s="7">
        <v>84</v>
      </c>
      <c r="D471" s="7">
        <v>63</v>
      </c>
      <c r="E471" s="7">
        <f t="shared" si="16"/>
        <v>75.6</v>
      </c>
      <c r="F471" s="7"/>
      <c r="G471" s="7">
        <f t="shared" si="17"/>
        <v>75.6</v>
      </c>
    </row>
    <row r="472" spans="1:7">
      <c r="A472" s="7" t="s">
        <v>37</v>
      </c>
      <c r="B472" s="7" t="str">
        <f>"223410021413"</f>
        <v>223410021413</v>
      </c>
      <c r="C472" s="7">
        <v>76</v>
      </c>
      <c r="D472" s="7">
        <v>66</v>
      </c>
      <c r="E472" s="7">
        <f t="shared" si="16"/>
        <v>72</v>
      </c>
      <c r="F472" s="7"/>
      <c r="G472" s="7">
        <f t="shared" si="17"/>
        <v>72</v>
      </c>
    </row>
    <row r="473" spans="1:7">
      <c r="A473" s="7" t="s">
        <v>37</v>
      </c>
      <c r="B473" s="7" t="str">
        <f>"223410021016"</f>
        <v>223410021016</v>
      </c>
      <c r="C473" s="7">
        <v>73</v>
      </c>
      <c r="D473" s="7">
        <v>65</v>
      </c>
      <c r="E473" s="7">
        <f t="shared" si="16"/>
        <v>69.8</v>
      </c>
      <c r="F473" s="7"/>
      <c r="G473" s="7">
        <f t="shared" si="17"/>
        <v>69.8</v>
      </c>
    </row>
    <row r="474" spans="1:7">
      <c r="A474" s="7" t="s">
        <v>37</v>
      </c>
      <c r="B474" s="7" t="str">
        <f>"223410020402"</f>
        <v>223410020402</v>
      </c>
      <c r="C474" s="7">
        <v>86</v>
      </c>
      <c r="D474" s="7">
        <v>45</v>
      </c>
      <c r="E474" s="7">
        <f t="shared" si="16"/>
        <v>69.6</v>
      </c>
      <c r="F474" s="7"/>
      <c r="G474" s="7">
        <f t="shared" si="17"/>
        <v>69.6</v>
      </c>
    </row>
    <row r="475" spans="1:7">
      <c r="A475" s="7" t="s">
        <v>37</v>
      </c>
      <c r="B475" s="7" t="str">
        <f>"223410020722"</f>
        <v>223410020722</v>
      </c>
      <c r="C475" s="7">
        <v>65</v>
      </c>
      <c r="D475" s="7">
        <v>73.5</v>
      </c>
      <c r="E475" s="7">
        <f t="shared" si="16"/>
        <v>68.4</v>
      </c>
      <c r="F475" s="7"/>
      <c r="G475" s="7">
        <f t="shared" si="17"/>
        <v>68.4</v>
      </c>
    </row>
    <row r="476" spans="1:7">
      <c r="A476" s="7" t="s">
        <v>37</v>
      </c>
      <c r="B476" s="7" t="str">
        <f>"223410021410"</f>
        <v>223410021410</v>
      </c>
      <c r="C476" s="7">
        <v>73</v>
      </c>
      <c r="D476" s="7">
        <v>57.5</v>
      </c>
      <c r="E476" s="7">
        <f t="shared" si="16"/>
        <v>66.8</v>
      </c>
      <c r="F476" s="7"/>
      <c r="G476" s="7">
        <f t="shared" si="17"/>
        <v>66.8</v>
      </c>
    </row>
    <row r="477" spans="1:7">
      <c r="A477" s="7" t="s">
        <v>37</v>
      </c>
      <c r="B477" s="7" t="str">
        <f>"223410020225"</f>
        <v>223410020225</v>
      </c>
      <c r="C477" s="7">
        <v>74</v>
      </c>
      <c r="D477" s="7">
        <v>55</v>
      </c>
      <c r="E477" s="7">
        <f t="shared" si="16"/>
        <v>66.4</v>
      </c>
      <c r="F477" s="7"/>
      <c r="G477" s="7">
        <f t="shared" si="17"/>
        <v>66.4</v>
      </c>
    </row>
    <row r="478" spans="1:7">
      <c r="A478" s="7" t="s">
        <v>37</v>
      </c>
      <c r="B478" s="7" t="str">
        <f>"223410022213"</f>
        <v>223410022213</v>
      </c>
      <c r="C478" s="7">
        <v>61.5</v>
      </c>
      <c r="D478" s="7">
        <v>48</v>
      </c>
      <c r="E478" s="7">
        <f t="shared" si="16"/>
        <v>56.1</v>
      </c>
      <c r="F478" s="7"/>
      <c r="G478" s="7">
        <f t="shared" si="17"/>
        <v>56.1</v>
      </c>
    </row>
    <row r="479" spans="1:7">
      <c r="A479" s="7" t="s">
        <v>37</v>
      </c>
      <c r="B479" s="7" t="str">
        <f>"223410021020"</f>
        <v>223410021020</v>
      </c>
      <c r="C479" s="7">
        <v>54</v>
      </c>
      <c r="D479" s="7">
        <v>57</v>
      </c>
      <c r="E479" s="7">
        <f t="shared" si="16"/>
        <v>55.2</v>
      </c>
      <c r="F479" s="7"/>
      <c r="G479" s="7">
        <f t="shared" si="17"/>
        <v>55.2</v>
      </c>
    </row>
    <row r="480" spans="1:7">
      <c r="A480" s="7" t="s">
        <v>38</v>
      </c>
      <c r="B480" s="7" t="str">
        <f>"223410022711"</f>
        <v>223410022711</v>
      </c>
      <c r="C480" s="7" t="s">
        <v>9</v>
      </c>
      <c r="D480" s="7" t="s">
        <v>9</v>
      </c>
      <c r="E480" s="7" t="s">
        <v>9</v>
      </c>
      <c r="F480" s="7"/>
      <c r="G480" s="7" t="s">
        <v>9</v>
      </c>
    </row>
    <row r="481" spans="1:7">
      <c r="A481" s="7" t="s">
        <v>38</v>
      </c>
      <c r="B481" s="7" t="str">
        <f>"223410022815"</f>
        <v>223410022815</v>
      </c>
      <c r="C481" s="7" t="s">
        <v>9</v>
      </c>
      <c r="D481" s="7" t="s">
        <v>9</v>
      </c>
      <c r="E481" s="7" t="s">
        <v>9</v>
      </c>
      <c r="F481" s="7"/>
      <c r="G481" s="7" t="s">
        <v>9</v>
      </c>
    </row>
    <row r="482" spans="1:7">
      <c r="A482" s="7" t="s">
        <v>38</v>
      </c>
      <c r="B482" s="7" t="str">
        <f>"223410023012"</f>
        <v>223410023012</v>
      </c>
      <c r="C482" s="7" t="s">
        <v>9</v>
      </c>
      <c r="D482" s="7" t="s">
        <v>9</v>
      </c>
      <c r="E482" s="7" t="s">
        <v>9</v>
      </c>
      <c r="F482" s="7"/>
      <c r="G482" s="7" t="s">
        <v>9</v>
      </c>
    </row>
    <row r="483" spans="1:7">
      <c r="A483" s="7" t="s">
        <v>38</v>
      </c>
      <c r="B483" s="7" t="str">
        <f>"223410023105"</f>
        <v>223410023105</v>
      </c>
      <c r="C483" s="7" t="s">
        <v>9</v>
      </c>
      <c r="D483" s="7" t="s">
        <v>9</v>
      </c>
      <c r="E483" s="7" t="s">
        <v>9</v>
      </c>
      <c r="F483" s="7"/>
      <c r="G483" s="7" t="s">
        <v>9</v>
      </c>
    </row>
    <row r="484" spans="1:7">
      <c r="A484" s="7" t="s">
        <v>38</v>
      </c>
      <c r="B484" s="7" t="str">
        <f>"223410023326"</f>
        <v>223410023326</v>
      </c>
      <c r="C484" s="7" t="s">
        <v>9</v>
      </c>
      <c r="D484" s="7" t="s">
        <v>9</v>
      </c>
      <c r="E484" s="7" t="s">
        <v>9</v>
      </c>
      <c r="F484" s="7"/>
      <c r="G484" s="7" t="s">
        <v>9</v>
      </c>
    </row>
    <row r="485" spans="1:7">
      <c r="A485" s="7" t="s">
        <v>38</v>
      </c>
      <c r="B485" s="7" t="str">
        <f>"223410023530"</f>
        <v>223410023530</v>
      </c>
      <c r="C485" s="7" t="s">
        <v>9</v>
      </c>
      <c r="D485" s="7" t="s">
        <v>9</v>
      </c>
      <c r="E485" s="7" t="s">
        <v>9</v>
      </c>
      <c r="F485" s="7"/>
      <c r="G485" s="7" t="s">
        <v>9</v>
      </c>
    </row>
    <row r="486" spans="1:7">
      <c r="A486" s="7" t="s">
        <v>38</v>
      </c>
      <c r="B486" s="7" t="str">
        <f>"223410023510"</f>
        <v>223410023510</v>
      </c>
      <c r="C486" s="7">
        <v>104</v>
      </c>
      <c r="D486" s="7">
        <v>98</v>
      </c>
      <c r="E486" s="7">
        <f t="shared" si="16"/>
        <v>101.6</v>
      </c>
      <c r="F486" s="7"/>
      <c r="G486" s="7">
        <f t="shared" si="17"/>
        <v>101.6</v>
      </c>
    </row>
    <row r="487" spans="1:7">
      <c r="A487" s="7" t="s">
        <v>38</v>
      </c>
      <c r="B487" s="7" t="str">
        <f>"223410023423"</f>
        <v>223410023423</v>
      </c>
      <c r="C487" s="7">
        <v>97.5</v>
      </c>
      <c r="D487" s="7">
        <v>93</v>
      </c>
      <c r="E487" s="7">
        <f t="shared" si="16"/>
        <v>95.7</v>
      </c>
      <c r="F487" s="7"/>
      <c r="G487" s="7">
        <f t="shared" si="17"/>
        <v>95.7</v>
      </c>
    </row>
    <row r="488" spans="1:7">
      <c r="A488" s="7" t="s">
        <v>38</v>
      </c>
      <c r="B488" s="7" t="str">
        <f>"223410023320"</f>
        <v>223410023320</v>
      </c>
      <c r="C488" s="7">
        <v>95.5</v>
      </c>
      <c r="D488" s="7">
        <v>91</v>
      </c>
      <c r="E488" s="7">
        <f t="shared" si="16"/>
        <v>93.7</v>
      </c>
      <c r="F488" s="7"/>
      <c r="G488" s="7">
        <f t="shared" si="17"/>
        <v>93.7</v>
      </c>
    </row>
    <row r="489" spans="1:7">
      <c r="A489" s="7" t="s">
        <v>38</v>
      </c>
      <c r="B489" s="7" t="str">
        <f>"223410023227"</f>
        <v>223410023227</v>
      </c>
      <c r="C489" s="7">
        <v>95</v>
      </c>
      <c r="D489" s="7">
        <v>86</v>
      </c>
      <c r="E489" s="7">
        <f t="shared" si="16"/>
        <v>91.4</v>
      </c>
      <c r="F489" s="7"/>
      <c r="G489" s="7">
        <f t="shared" si="17"/>
        <v>91.4</v>
      </c>
    </row>
    <row r="490" spans="1:7">
      <c r="A490" s="7" t="s">
        <v>38</v>
      </c>
      <c r="B490" s="7" t="str">
        <f>"223410023328"</f>
        <v>223410023328</v>
      </c>
      <c r="C490" s="7">
        <v>98.5</v>
      </c>
      <c r="D490" s="7">
        <v>76</v>
      </c>
      <c r="E490" s="7">
        <f t="shared" si="16"/>
        <v>89.5</v>
      </c>
      <c r="F490" s="7"/>
      <c r="G490" s="7">
        <f t="shared" si="17"/>
        <v>89.5</v>
      </c>
    </row>
    <row r="491" spans="1:7">
      <c r="A491" s="7" t="s">
        <v>38</v>
      </c>
      <c r="B491" s="7" t="str">
        <f>"223410023330"</f>
        <v>223410023330</v>
      </c>
      <c r="C491" s="7">
        <v>94</v>
      </c>
      <c r="D491" s="7">
        <v>72</v>
      </c>
      <c r="E491" s="7">
        <f t="shared" si="16"/>
        <v>85.2</v>
      </c>
      <c r="F491" s="7"/>
      <c r="G491" s="7">
        <f t="shared" si="17"/>
        <v>85.2</v>
      </c>
    </row>
    <row r="492" spans="1:7">
      <c r="A492" s="7" t="s">
        <v>38</v>
      </c>
      <c r="B492" s="7" t="str">
        <f>"223410023225"</f>
        <v>223410023225</v>
      </c>
      <c r="C492" s="7">
        <v>91</v>
      </c>
      <c r="D492" s="7">
        <v>76</v>
      </c>
      <c r="E492" s="7">
        <f t="shared" si="16"/>
        <v>85</v>
      </c>
      <c r="F492" s="7"/>
      <c r="G492" s="7">
        <f t="shared" si="17"/>
        <v>85</v>
      </c>
    </row>
    <row r="493" spans="1:7">
      <c r="A493" s="7" t="s">
        <v>38</v>
      </c>
      <c r="B493" s="7" t="str">
        <f>"223410022501"</f>
        <v>223410022501</v>
      </c>
      <c r="C493" s="7">
        <v>94.5</v>
      </c>
      <c r="D493" s="7">
        <v>70.5</v>
      </c>
      <c r="E493" s="7">
        <f t="shared" si="16"/>
        <v>84.9</v>
      </c>
      <c r="F493" s="7"/>
      <c r="G493" s="7">
        <f t="shared" si="17"/>
        <v>84.9</v>
      </c>
    </row>
    <row r="494" spans="1:7">
      <c r="A494" s="7" t="s">
        <v>38</v>
      </c>
      <c r="B494" s="7" t="str">
        <f>"223410023519"</f>
        <v>223410023519</v>
      </c>
      <c r="C494" s="7">
        <v>92</v>
      </c>
      <c r="D494" s="7">
        <v>70</v>
      </c>
      <c r="E494" s="7">
        <f t="shared" si="16"/>
        <v>83.2</v>
      </c>
      <c r="F494" s="7"/>
      <c r="G494" s="7">
        <f t="shared" si="17"/>
        <v>83.2</v>
      </c>
    </row>
    <row r="495" spans="1:7">
      <c r="A495" s="7" t="s">
        <v>38</v>
      </c>
      <c r="B495" s="7" t="str">
        <f>"223410022918"</f>
        <v>223410022918</v>
      </c>
      <c r="C495" s="7">
        <v>98</v>
      </c>
      <c r="D495" s="7">
        <v>60</v>
      </c>
      <c r="E495" s="7">
        <f t="shared" si="16"/>
        <v>82.8</v>
      </c>
      <c r="F495" s="7"/>
      <c r="G495" s="7">
        <f t="shared" si="17"/>
        <v>82.8</v>
      </c>
    </row>
    <row r="496" spans="1:7">
      <c r="A496" s="7" t="s">
        <v>38</v>
      </c>
      <c r="B496" s="7" t="str">
        <f>"223410022609"</f>
        <v>223410022609</v>
      </c>
      <c r="C496" s="7">
        <v>99</v>
      </c>
      <c r="D496" s="7">
        <v>58</v>
      </c>
      <c r="E496" s="7">
        <f t="shared" si="16"/>
        <v>82.6</v>
      </c>
      <c r="F496" s="7"/>
      <c r="G496" s="7">
        <f t="shared" si="17"/>
        <v>82.6</v>
      </c>
    </row>
    <row r="497" spans="1:7">
      <c r="A497" s="7" t="s">
        <v>38</v>
      </c>
      <c r="B497" s="7" t="str">
        <f>"223410023424"</f>
        <v>223410023424</v>
      </c>
      <c r="C497" s="7">
        <v>88.5</v>
      </c>
      <c r="D497" s="7">
        <v>70</v>
      </c>
      <c r="E497" s="7">
        <f t="shared" si="16"/>
        <v>81.1</v>
      </c>
      <c r="F497" s="7"/>
      <c r="G497" s="7">
        <f t="shared" si="17"/>
        <v>81.1</v>
      </c>
    </row>
    <row r="498" spans="1:7">
      <c r="A498" s="7" t="s">
        <v>38</v>
      </c>
      <c r="B498" s="7" t="str">
        <f>"223410022909"</f>
        <v>223410022909</v>
      </c>
      <c r="C498" s="7">
        <v>96</v>
      </c>
      <c r="D498" s="7">
        <v>58</v>
      </c>
      <c r="E498" s="7">
        <f t="shared" si="16"/>
        <v>80.8</v>
      </c>
      <c r="F498" s="7"/>
      <c r="G498" s="7">
        <f t="shared" si="17"/>
        <v>80.8</v>
      </c>
    </row>
    <row r="499" spans="1:7">
      <c r="A499" s="7" t="s">
        <v>38</v>
      </c>
      <c r="B499" s="7" t="str">
        <f>"223410023110"</f>
        <v>223410023110</v>
      </c>
      <c r="C499" s="7">
        <v>85</v>
      </c>
      <c r="D499" s="7">
        <v>73</v>
      </c>
      <c r="E499" s="7">
        <f t="shared" si="16"/>
        <v>80.2</v>
      </c>
      <c r="F499" s="7"/>
      <c r="G499" s="7">
        <f t="shared" si="17"/>
        <v>80.2</v>
      </c>
    </row>
    <row r="500" spans="1:7">
      <c r="A500" s="7" t="s">
        <v>38</v>
      </c>
      <c r="B500" s="7" t="str">
        <f>"223410022809"</f>
        <v>223410022809</v>
      </c>
      <c r="C500" s="7">
        <v>93.5</v>
      </c>
      <c r="D500" s="7">
        <v>59</v>
      </c>
      <c r="E500" s="7">
        <f t="shared" si="16"/>
        <v>79.7</v>
      </c>
      <c r="F500" s="7"/>
      <c r="G500" s="7">
        <f t="shared" si="17"/>
        <v>79.7</v>
      </c>
    </row>
    <row r="501" spans="1:7">
      <c r="A501" s="7" t="s">
        <v>38</v>
      </c>
      <c r="B501" s="7" t="str">
        <f>"223410022602"</f>
        <v>223410022602</v>
      </c>
      <c r="C501" s="7">
        <v>98.5</v>
      </c>
      <c r="D501" s="7">
        <v>51</v>
      </c>
      <c r="E501" s="7">
        <f t="shared" si="16"/>
        <v>79.5</v>
      </c>
      <c r="F501" s="7"/>
      <c r="G501" s="7">
        <f t="shared" si="17"/>
        <v>79.5</v>
      </c>
    </row>
    <row r="502" spans="1:7">
      <c r="A502" s="7" t="s">
        <v>38</v>
      </c>
      <c r="B502" s="7" t="str">
        <f>"223410022617"</f>
        <v>223410022617</v>
      </c>
      <c r="C502" s="7">
        <v>86.5</v>
      </c>
      <c r="D502" s="7">
        <v>66</v>
      </c>
      <c r="E502" s="7">
        <f t="shared" si="16"/>
        <v>78.3</v>
      </c>
      <c r="F502" s="7"/>
      <c r="G502" s="7">
        <f t="shared" si="17"/>
        <v>78.3</v>
      </c>
    </row>
    <row r="503" spans="1:7">
      <c r="A503" s="7" t="s">
        <v>38</v>
      </c>
      <c r="B503" s="7" t="str">
        <f>"223410023402"</f>
        <v>223410023402</v>
      </c>
      <c r="C503" s="7">
        <v>81</v>
      </c>
      <c r="D503" s="7">
        <v>73</v>
      </c>
      <c r="E503" s="7">
        <f t="shared" si="16"/>
        <v>77.8</v>
      </c>
      <c r="F503" s="7"/>
      <c r="G503" s="7">
        <f t="shared" si="17"/>
        <v>77.8</v>
      </c>
    </row>
    <row r="504" spans="1:7">
      <c r="A504" s="7" t="s">
        <v>38</v>
      </c>
      <c r="B504" s="7" t="str">
        <f>"223410023323"</f>
        <v>223410023323</v>
      </c>
      <c r="C504" s="7">
        <v>88.5</v>
      </c>
      <c r="D504" s="7">
        <v>60</v>
      </c>
      <c r="E504" s="7">
        <f t="shared" si="16"/>
        <v>77.1</v>
      </c>
      <c r="F504" s="7"/>
      <c r="G504" s="7">
        <f t="shared" si="17"/>
        <v>77.1</v>
      </c>
    </row>
    <row r="505" spans="1:7">
      <c r="A505" s="7" t="s">
        <v>38</v>
      </c>
      <c r="B505" s="7" t="str">
        <f>"223410023117"</f>
        <v>223410023117</v>
      </c>
      <c r="C505" s="7">
        <v>89.5</v>
      </c>
      <c r="D505" s="7">
        <v>56</v>
      </c>
      <c r="E505" s="7">
        <f t="shared" si="16"/>
        <v>76.1</v>
      </c>
      <c r="F505" s="7"/>
      <c r="G505" s="7">
        <f t="shared" si="17"/>
        <v>76.1</v>
      </c>
    </row>
    <row r="506" spans="1:7">
      <c r="A506" s="7" t="s">
        <v>38</v>
      </c>
      <c r="B506" s="7" t="str">
        <f>"223410023525"</f>
        <v>223410023525</v>
      </c>
      <c r="C506" s="7">
        <v>89</v>
      </c>
      <c r="D506" s="7">
        <v>56</v>
      </c>
      <c r="E506" s="7">
        <f t="shared" si="16"/>
        <v>75.8</v>
      </c>
      <c r="F506" s="7"/>
      <c r="G506" s="7">
        <f t="shared" si="17"/>
        <v>75.8</v>
      </c>
    </row>
    <row r="507" spans="1:7">
      <c r="A507" s="7" t="s">
        <v>38</v>
      </c>
      <c r="B507" s="7" t="str">
        <f>"223410023217"</f>
        <v>223410023217</v>
      </c>
      <c r="C507" s="7">
        <v>74.5</v>
      </c>
      <c r="D507" s="7">
        <v>68</v>
      </c>
      <c r="E507" s="7">
        <f t="shared" si="16"/>
        <v>71.9</v>
      </c>
      <c r="F507" s="7"/>
      <c r="G507" s="7">
        <f t="shared" si="17"/>
        <v>71.9</v>
      </c>
    </row>
    <row r="508" spans="1:7">
      <c r="A508" s="7" t="s">
        <v>38</v>
      </c>
      <c r="B508" s="7" t="str">
        <f>"223410023319"</f>
        <v>223410023319</v>
      </c>
      <c r="C508" s="7">
        <v>85.5</v>
      </c>
      <c r="D508" s="7">
        <v>50</v>
      </c>
      <c r="E508" s="7">
        <f t="shared" si="16"/>
        <v>71.3</v>
      </c>
      <c r="F508" s="7"/>
      <c r="G508" s="7">
        <f t="shared" si="17"/>
        <v>71.3</v>
      </c>
    </row>
    <row r="509" spans="1:7">
      <c r="A509" s="7" t="s">
        <v>38</v>
      </c>
      <c r="B509" s="7" t="str">
        <f>"223410023422"</f>
        <v>223410023422</v>
      </c>
      <c r="C509" s="7">
        <v>81</v>
      </c>
      <c r="D509" s="7">
        <v>56</v>
      </c>
      <c r="E509" s="7">
        <f t="shared" si="16"/>
        <v>71</v>
      </c>
      <c r="F509" s="7"/>
      <c r="G509" s="7">
        <f t="shared" si="17"/>
        <v>71</v>
      </c>
    </row>
    <row r="510" spans="1:7">
      <c r="A510" s="7" t="s">
        <v>38</v>
      </c>
      <c r="B510" s="7" t="str">
        <f>"223410022504"</f>
        <v>223410022504</v>
      </c>
      <c r="C510" s="7">
        <v>69.5</v>
      </c>
      <c r="D510" s="7">
        <v>65</v>
      </c>
      <c r="E510" s="7">
        <f t="shared" si="16"/>
        <v>67.7</v>
      </c>
      <c r="F510" s="7"/>
      <c r="G510" s="7">
        <f t="shared" si="17"/>
        <v>67.7</v>
      </c>
    </row>
    <row r="511" spans="1:7">
      <c r="A511" s="7" t="s">
        <v>39</v>
      </c>
      <c r="B511" s="7" t="str">
        <f>"223410021926"</f>
        <v>223410021926</v>
      </c>
      <c r="C511" s="7" t="s">
        <v>9</v>
      </c>
      <c r="D511" s="7" t="s">
        <v>9</v>
      </c>
      <c r="E511" s="7" t="s">
        <v>9</v>
      </c>
      <c r="F511" s="7"/>
      <c r="G511" s="7" t="s">
        <v>9</v>
      </c>
    </row>
    <row r="512" spans="1:7">
      <c r="A512" s="7" t="s">
        <v>39</v>
      </c>
      <c r="B512" s="7" t="str">
        <f>"223410021505"</f>
        <v>223410021505</v>
      </c>
      <c r="C512" s="7">
        <v>104</v>
      </c>
      <c r="D512" s="7">
        <v>67.5</v>
      </c>
      <c r="E512" s="7">
        <f t="shared" si="16"/>
        <v>89.4</v>
      </c>
      <c r="F512" s="7"/>
      <c r="G512" s="7">
        <f t="shared" si="17"/>
        <v>89.4</v>
      </c>
    </row>
    <row r="513" spans="1:7">
      <c r="A513" s="7" t="s">
        <v>39</v>
      </c>
      <c r="B513" s="7" t="str">
        <f>"223410021602"</f>
        <v>223410021602</v>
      </c>
      <c r="C513" s="7">
        <v>99</v>
      </c>
      <c r="D513" s="7">
        <v>74.5</v>
      </c>
      <c r="E513" s="7">
        <f t="shared" si="16"/>
        <v>89.2</v>
      </c>
      <c r="F513" s="7"/>
      <c r="G513" s="7">
        <f t="shared" si="17"/>
        <v>89.2</v>
      </c>
    </row>
    <row r="514" spans="1:7">
      <c r="A514" s="7" t="s">
        <v>39</v>
      </c>
      <c r="B514" s="7" t="str">
        <f>"223410021610"</f>
        <v>223410021610</v>
      </c>
      <c r="C514" s="7">
        <v>103.5</v>
      </c>
      <c r="D514" s="7">
        <v>63.5</v>
      </c>
      <c r="E514" s="7">
        <f t="shared" si="16"/>
        <v>87.5</v>
      </c>
      <c r="F514" s="7"/>
      <c r="G514" s="7">
        <f t="shared" si="17"/>
        <v>87.5</v>
      </c>
    </row>
    <row r="515" spans="1:7">
      <c r="A515" s="7" t="s">
        <v>39</v>
      </c>
      <c r="B515" s="7" t="str">
        <f>"223410022105"</f>
        <v>223410022105</v>
      </c>
      <c r="C515" s="7">
        <v>97</v>
      </c>
      <c r="D515" s="7">
        <v>72</v>
      </c>
      <c r="E515" s="7">
        <f t="shared" si="16"/>
        <v>87</v>
      </c>
      <c r="F515" s="7"/>
      <c r="G515" s="7">
        <f t="shared" si="17"/>
        <v>87</v>
      </c>
    </row>
    <row r="516" spans="1:7">
      <c r="A516" s="7" t="s">
        <v>39</v>
      </c>
      <c r="B516" s="7" t="str">
        <f>"223410021225"</f>
        <v>223410021225</v>
      </c>
      <c r="C516" s="7">
        <v>95</v>
      </c>
      <c r="D516" s="7">
        <v>70</v>
      </c>
      <c r="E516" s="7">
        <f t="shared" si="16"/>
        <v>85</v>
      </c>
      <c r="F516" s="7"/>
      <c r="G516" s="7">
        <f t="shared" si="17"/>
        <v>85</v>
      </c>
    </row>
    <row r="517" spans="1:7">
      <c r="A517" s="7" t="s">
        <v>39</v>
      </c>
      <c r="B517" s="7" t="str">
        <f>"223410021711"</f>
        <v>223410021711</v>
      </c>
      <c r="C517" s="7">
        <v>85.5</v>
      </c>
      <c r="D517" s="7">
        <v>61.5</v>
      </c>
      <c r="E517" s="7">
        <f t="shared" si="16"/>
        <v>75.9</v>
      </c>
      <c r="F517" s="7"/>
      <c r="G517" s="7">
        <f t="shared" si="17"/>
        <v>75.9</v>
      </c>
    </row>
    <row r="518" spans="1:7">
      <c r="A518" s="7" t="s">
        <v>39</v>
      </c>
      <c r="B518" s="7" t="str">
        <f>"223410021115"</f>
        <v>223410021115</v>
      </c>
      <c r="C518" s="7">
        <v>74</v>
      </c>
      <c r="D518" s="7">
        <v>74</v>
      </c>
      <c r="E518" s="7">
        <f t="shared" si="16"/>
        <v>74</v>
      </c>
      <c r="F518" s="7"/>
      <c r="G518" s="7">
        <f t="shared" si="17"/>
        <v>74</v>
      </c>
    </row>
    <row r="519" spans="1:7">
      <c r="A519" s="7" t="s">
        <v>39</v>
      </c>
      <c r="B519" s="7" t="str">
        <f>"223410021523"</f>
        <v>223410021523</v>
      </c>
      <c r="C519" s="7">
        <v>84</v>
      </c>
      <c r="D519" s="7">
        <v>57</v>
      </c>
      <c r="E519" s="7">
        <f t="shared" si="16"/>
        <v>73.2</v>
      </c>
      <c r="F519" s="7"/>
      <c r="G519" s="7">
        <f t="shared" si="17"/>
        <v>73.2</v>
      </c>
    </row>
    <row r="520" spans="1:7">
      <c r="A520" s="7" t="s">
        <v>39</v>
      </c>
      <c r="B520" s="7" t="str">
        <f>"223410021927"</f>
        <v>223410021927</v>
      </c>
      <c r="C520" s="7">
        <v>85.5</v>
      </c>
      <c r="D520" s="7">
        <v>53</v>
      </c>
      <c r="E520" s="7">
        <f t="shared" si="16"/>
        <v>72.5</v>
      </c>
      <c r="F520" s="7"/>
      <c r="G520" s="7">
        <f t="shared" si="17"/>
        <v>72.5</v>
      </c>
    </row>
    <row r="521" spans="1:7">
      <c r="A521" s="7" t="s">
        <v>40</v>
      </c>
      <c r="B521" s="7" t="str">
        <f>"223410010907"</f>
        <v>223410010907</v>
      </c>
      <c r="C521" s="7" t="s">
        <v>9</v>
      </c>
      <c r="D521" s="7" t="s">
        <v>9</v>
      </c>
      <c r="E521" s="7" t="s">
        <v>9</v>
      </c>
      <c r="F521" s="7"/>
      <c r="G521" s="7" t="s">
        <v>9</v>
      </c>
    </row>
    <row r="522" spans="1:7">
      <c r="A522" s="7" t="s">
        <v>40</v>
      </c>
      <c r="B522" s="7" t="str">
        <f>"223410010923"</f>
        <v>223410010923</v>
      </c>
      <c r="C522" s="7" t="s">
        <v>9</v>
      </c>
      <c r="D522" s="7" t="s">
        <v>9</v>
      </c>
      <c r="E522" s="7" t="s">
        <v>9</v>
      </c>
      <c r="F522" s="7"/>
      <c r="G522" s="7" t="s">
        <v>9</v>
      </c>
    </row>
    <row r="523" spans="1:7">
      <c r="A523" s="7" t="s">
        <v>40</v>
      </c>
      <c r="B523" s="7" t="str">
        <f>"223410012317"</f>
        <v>223410012317</v>
      </c>
      <c r="C523" s="7" t="s">
        <v>9</v>
      </c>
      <c r="D523" s="7" t="s">
        <v>9</v>
      </c>
      <c r="E523" s="7" t="s">
        <v>9</v>
      </c>
      <c r="F523" s="7"/>
      <c r="G523" s="7" t="s">
        <v>9</v>
      </c>
    </row>
    <row r="524" spans="1:7">
      <c r="A524" s="7" t="s">
        <v>40</v>
      </c>
      <c r="B524" s="7" t="str">
        <f>"223410013010"</f>
        <v>223410013010</v>
      </c>
      <c r="C524" s="7">
        <v>90</v>
      </c>
      <c r="D524" s="7">
        <v>74</v>
      </c>
      <c r="E524" s="7">
        <f t="shared" ref="E524:E530" si="18">C524*0.6+D524*0.4</f>
        <v>83.6</v>
      </c>
      <c r="F524" s="7"/>
      <c r="G524" s="7">
        <f t="shared" ref="G524:G530" si="19">E524+F524</f>
        <v>83.6</v>
      </c>
    </row>
    <row r="525" spans="1:7">
      <c r="A525" s="7" t="s">
        <v>40</v>
      </c>
      <c r="B525" s="7" t="str">
        <f>"223410012514"</f>
        <v>223410012514</v>
      </c>
      <c r="C525" s="7">
        <v>87</v>
      </c>
      <c r="D525" s="7">
        <v>73</v>
      </c>
      <c r="E525" s="7">
        <f t="shared" si="18"/>
        <v>81.4</v>
      </c>
      <c r="F525" s="7"/>
      <c r="G525" s="7">
        <f t="shared" si="19"/>
        <v>81.4</v>
      </c>
    </row>
    <row r="526" spans="1:7">
      <c r="A526" s="7" t="s">
        <v>40</v>
      </c>
      <c r="B526" s="7" t="str">
        <f>"223410012601"</f>
        <v>223410012601</v>
      </c>
      <c r="C526" s="7">
        <v>85</v>
      </c>
      <c r="D526" s="7">
        <v>68</v>
      </c>
      <c r="E526" s="7">
        <f t="shared" si="18"/>
        <v>78.2</v>
      </c>
      <c r="F526" s="7"/>
      <c r="G526" s="7">
        <f t="shared" si="19"/>
        <v>78.2</v>
      </c>
    </row>
    <row r="527" spans="1:7">
      <c r="A527" s="7" t="s">
        <v>40</v>
      </c>
      <c r="B527" s="7" t="str">
        <f>"223410011928"</f>
        <v>223410011928</v>
      </c>
      <c r="C527" s="7">
        <v>81</v>
      </c>
      <c r="D527" s="7">
        <v>73</v>
      </c>
      <c r="E527" s="7">
        <f t="shared" si="18"/>
        <v>77.8</v>
      </c>
      <c r="F527" s="7"/>
      <c r="G527" s="7">
        <f t="shared" si="19"/>
        <v>77.8</v>
      </c>
    </row>
    <row r="528" spans="1:7">
      <c r="A528" s="7" t="s">
        <v>40</v>
      </c>
      <c r="B528" s="7" t="str">
        <f>"223410013427"</f>
        <v>223410013427</v>
      </c>
      <c r="C528" s="7">
        <v>84</v>
      </c>
      <c r="D528" s="7">
        <v>67.5</v>
      </c>
      <c r="E528" s="7">
        <f t="shared" si="18"/>
        <v>77.4</v>
      </c>
      <c r="F528" s="7"/>
      <c r="G528" s="7">
        <f t="shared" si="19"/>
        <v>77.4</v>
      </c>
    </row>
    <row r="529" spans="1:7">
      <c r="A529" s="7" t="s">
        <v>40</v>
      </c>
      <c r="B529" s="7" t="str">
        <f>"223410010315"</f>
        <v>223410010315</v>
      </c>
      <c r="C529" s="7">
        <v>90</v>
      </c>
      <c r="D529" s="7">
        <v>58</v>
      </c>
      <c r="E529" s="7">
        <f t="shared" si="18"/>
        <v>77.2</v>
      </c>
      <c r="F529" s="7"/>
      <c r="G529" s="7">
        <f t="shared" si="19"/>
        <v>77.2</v>
      </c>
    </row>
    <row r="530" spans="1:7">
      <c r="A530" s="7" t="s">
        <v>40</v>
      </c>
      <c r="B530" s="7" t="str">
        <f>"223410010606"</f>
        <v>223410010606</v>
      </c>
      <c r="C530" s="7">
        <v>81</v>
      </c>
      <c r="D530" s="7">
        <v>62.5</v>
      </c>
      <c r="E530" s="7">
        <f t="shared" si="18"/>
        <v>73.6</v>
      </c>
      <c r="F530" s="7"/>
      <c r="G530" s="7">
        <f t="shared" si="19"/>
        <v>73.6</v>
      </c>
    </row>
    <row r="531" spans="1:7">
      <c r="A531" s="7" t="s">
        <v>41</v>
      </c>
      <c r="B531" s="7" t="str">
        <f>"223410013618"</f>
        <v>223410013618</v>
      </c>
      <c r="C531" s="7" t="s">
        <v>9</v>
      </c>
      <c r="D531" s="7" t="s">
        <v>9</v>
      </c>
      <c r="E531" s="7" t="s">
        <v>9</v>
      </c>
      <c r="F531" s="7"/>
      <c r="G531" s="7" t="s">
        <v>9</v>
      </c>
    </row>
    <row r="532" spans="1:7">
      <c r="A532" s="7" t="s">
        <v>41</v>
      </c>
      <c r="B532" s="7" t="str">
        <f>"223410013706"</f>
        <v>223410013706</v>
      </c>
      <c r="C532" s="7" t="s">
        <v>9</v>
      </c>
      <c r="D532" s="7" t="s">
        <v>9</v>
      </c>
      <c r="E532" s="7" t="s">
        <v>9</v>
      </c>
      <c r="F532" s="7"/>
      <c r="G532" s="7" t="s">
        <v>9</v>
      </c>
    </row>
    <row r="533" spans="1:7">
      <c r="A533" s="7" t="s">
        <v>41</v>
      </c>
      <c r="B533" s="7" t="str">
        <f>"223410013724"</f>
        <v>223410013724</v>
      </c>
      <c r="C533" s="7" t="s">
        <v>9</v>
      </c>
      <c r="D533" s="7" t="s">
        <v>9</v>
      </c>
      <c r="E533" s="7" t="s">
        <v>9</v>
      </c>
      <c r="F533" s="7"/>
      <c r="G533" s="7" t="s">
        <v>9</v>
      </c>
    </row>
    <row r="534" spans="1:7">
      <c r="A534" s="7" t="s">
        <v>41</v>
      </c>
      <c r="B534" s="7" t="str">
        <f>"223410013803"</f>
        <v>223410013803</v>
      </c>
      <c r="C534" s="7" t="s">
        <v>9</v>
      </c>
      <c r="D534" s="7" t="s">
        <v>9</v>
      </c>
      <c r="E534" s="7" t="s">
        <v>9</v>
      </c>
      <c r="F534" s="7"/>
      <c r="G534" s="7" t="s">
        <v>9</v>
      </c>
    </row>
    <row r="535" spans="1:7">
      <c r="A535" s="7" t="s">
        <v>41</v>
      </c>
      <c r="B535" s="7" t="str">
        <f>"223410013813"</f>
        <v>223410013813</v>
      </c>
      <c r="C535" s="7" t="s">
        <v>9</v>
      </c>
      <c r="D535" s="7" t="s">
        <v>9</v>
      </c>
      <c r="E535" s="7" t="s">
        <v>9</v>
      </c>
      <c r="F535" s="7"/>
      <c r="G535" s="7" t="s">
        <v>9</v>
      </c>
    </row>
    <row r="536" spans="1:7">
      <c r="A536" s="7" t="s">
        <v>41</v>
      </c>
      <c r="B536" s="7" t="str">
        <f>"223410013821"</f>
        <v>223410013821</v>
      </c>
      <c r="C536" s="7" t="s">
        <v>9</v>
      </c>
      <c r="D536" s="7" t="s">
        <v>9</v>
      </c>
      <c r="E536" s="7" t="s">
        <v>9</v>
      </c>
      <c r="F536" s="7"/>
      <c r="G536" s="7" t="s">
        <v>9</v>
      </c>
    </row>
    <row r="537" spans="1:7">
      <c r="A537" s="7" t="s">
        <v>41</v>
      </c>
      <c r="B537" s="7" t="str">
        <f>"223410014117"</f>
        <v>223410014117</v>
      </c>
      <c r="C537" s="7" t="s">
        <v>9</v>
      </c>
      <c r="D537" s="7" t="s">
        <v>9</v>
      </c>
      <c r="E537" s="7" t="s">
        <v>9</v>
      </c>
      <c r="F537" s="7"/>
      <c r="G537" s="7" t="s">
        <v>9</v>
      </c>
    </row>
    <row r="538" spans="1:7">
      <c r="A538" s="7" t="s">
        <v>41</v>
      </c>
      <c r="B538" s="7" t="str">
        <f>"223410014127"</f>
        <v>223410014127</v>
      </c>
      <c r="C538" s="7" t="s">
        <v>9</v>
      </c>
      <c r="D538" s="7" t="s">
        <v>9</v>
      </c>
      <c r="E538" s="7" t="s">
        <v>9</v>
      </c>
      <c r="F538" s="7"/>
      <c r="G538" s="7" t="s">
        <v>9</v>
      </c>
    </row>
    <row r="539" spans="1:7">
      <c r="A539" s="7" t="s">
        <v>41</v>
      </c>
      <c r="B539" s="7" t="str">
        <f>"223410014206"</f>
        <v>223410014206</v>
      </c>
      <c r="C539" s="7" t="s">
        <v>9</v>
      </c>
      <c r="D539" s="7" t="s">
        <v>9</v>
      </c>
      <c r="E539" s="7" t="s">
        <v>9</v>
      </c>
      <c r="F539" s="7"/>
      <c r="G539" s="7" t="s">
        <v>9</v>
      </c>
    </row>
    <row r="540" spans="1:7">
      <c r="A540" s="7" t="s">
        <v>41</v>
      </c>
      <c r="B540" s="7" t="str">
        <f>"223410014211"</f>
        <v>223410014211</v>
      </c>
      <c r="C540" s="7" t="s">
        <v>9</v>
      </c>
      <c r="D540" s="7" t="s">
        <v>9</v>
      </c>
      <c r="E540" s="7" t="s">
        <v>9</v>
      </c>
      <c r="F540" s="7"/>
      <c r="G540" s="7" t="s">
        <v>9</v>
      </c>
    </row>
    <row r="541" spans="1:7">
      <c r="A541" s="7" t="s">
        <v>41</v>
      </c>
      <c r="B541" s="7" t="str">
        <f>"223410013730"</f>
        <v>223410013730</v>
      </c>
      <c r="C541" s="7">
        <v>103</v>
      </c>
      <c r="D541" s="7">
        <v>81</v>
      </c>
      <c r="E541" s="7">
        <f t="shared" ref="E541:E562" si="20">C541*0.6+D541*0.4</f>
        <v>94.2</v>
      </c>
      <c r="F541" s="7"/>
      <c r="G541" s="7">
        <f t="shared" ref="G541:G564" si="21">E541+F541</f>
        <v>94.2</v>
      </c>
    </row>
    <row r="542" spans="1:7">
      <c r="A542" s="7" t="s">
        <v>41</v>
      </c>
      <c r="B542" s="7" t="str">
        <f>"223410014116"</f>
        <v>223410014116</v>
      </c>
      <c r="C542" s="7">
        <v>97</v>
      </c>
      <c r="D542" s="7">
        <v>87.5</v>
      </c>
      <c r="E542" s="7">
        <f t="shared" si="20"/>
        <v>93.2</v>
      </c>
      <c r="F542" s="7"/>
      <c r="G542" s="7">
        <f t="shared" si="21"/>
        <v>93.2</v>
      </c>
    </row>
    <row r="543" spans="1:7">
      <c r="A543" s="7" t="s">
        <v>41</v>
      </c>
      <c r="B543" s="7" t="str">
        <f>"223410013612"</f>
        <v>223410013612</v>
      </c>
      <c r="C543" s="7">
        <v>100</v>
      </c>
      <c r="D543" s="7">
        <v>74</v>
      </c>
      <c r="E543" s="7">
        <f t="shared" si="20"/>
        <v>89.6</v>
      </c>
      <c r="F543" s="7"/>
      <c r="G543" s="7">
        <f t="shared" si="21"/>
        <v>89.6</v>
      </c>
    </row>
    <row r="544" spans="1:7">
      <c r="A544" s="7" t="s">
        <v>41</v>
      </c>
      <c r="B544" s="7" t="str">
        <f>"223410013818"</f>
        <v>223410013818</v>
      </c>
      <c r="C544" s="7">
        <v>91</v>
      </c>
      <c r="D544" s="7">
        <v>86</v>
      </c>
      <c r="E544" s="7">
        <f t="shared" si="20"/>
        <v>89</v>
      </c>
      <c r="F544" s="7"/>
      <c r="G544" s="7">
        <f t="shared" si="21"/>
        <v>89</v>
      </c>
    </row>
    <row r="545" spans="1:7">
      <c r="A545" s="7" t="s">
        <v>41</v>
      </c>
      <c r="B545" s="7" t="str">
        <f>"223410013718"</f>
        <v>223410013718</v>
      </c>
      <c r="C545" s="7">
        <v>97</v>
      </c>
      <c r="D545" s="7">
        <v>76</v>
      </c>
      <c r="E545" s="7">
        <f t="shared" si="20"/>
        <v>88.6</v>
      </c>
      <c r="F545" s="7"/>
      <c r="G545" s="7">
        <f t="shared" si="21"/>
        <v>88.6</v>
      </c>
    </row>
    <row r="546" spans="1:7">
      <c r="A546" s="7" t="s">
        <v>41</v>
      </c>
      <c r="B546" s="7" t="str">
        <f>"223410014201"</f>
        <v>223410014201</v>
      </c>
      <c r="C546" s="7">
        <v>90</v>
      </c>
      <c r="D546" s="7">
        <v>81</v>
      </c>
      <c r="E546" s="7">
        <f t="shared" si="20"/>
        <v>86.4</v>
      </c>
      <c r="F546" s="7"/>
      <c r="G546" s="7">
        <f t="shared" si="21"/>
        <v>86.4</v>
      </c>
    </row>
    <row r="547" spans="1:7">
      <c r="A547" s="7" t="s">
        <v>41</v>
      </c>
      <c r="B547" s="7" t="str">
        <f>"223410013614"</f>
        <v>223410013614</v>
      </c>
      <c r="C547" s="7">
        <v>96</v>
      </c>
      <c r="D547" s="7">
        <v>69</v>
      </c>
      <c r="E547" s="7">
        <f t="shared" si="20"/>
        <v>85.2</v>
      </c>
      <c r="F547" s="7"/>
      <c r="G547" s="7">
        <f t="shared" si="21"/>
        <v>85.2</v>
      </c>
    </row>
    <row r="548" spans="1:7">
      <c r="A548" s="7" t="s">
        <v>41</v>
      </c>
      <c r="B548" s="7" t="str">
        <f>"223410013719"</f>
        <v>223410013719</v>
      </c>
      <c r="C548" s="7">
        <v>97</v>
      </c>
      <c r="D548" s="7">
        <v>65</v>
      </c>
      <c r="E548" s="7">
        <f t="shared" si="20"/>
        <v>84.2</v>
      </c>
      <c r="F548" s="7"/>
      <c r="G548" s="7">
        <f t="shared" si="21"/>
        <v>84.2</v>
      </c>
    </row>
    <row r="549" spans="1:7">
      <c r="A549" s="7" t="s">
        <v>41</v>
      </c>
      <c r="B549" s="7" t="str">
        <f>"223410013714"</f>
        <v>223410013714</v>
      </c>
      <c r="C549" s="7">
        <v>94</v>
      </c>
      <c r="D549" s="7">
        <v>67.5</v>
      </c>
      <c r="E549" s="7">
        <f t="shared" si="20"/>
        <v>83.4</v>
      </c>
      <c r="F549" s="7"/>
      <c r="G549" s="7">
        <f t="shared" si="21"/>
        <v>83.4</v>
      </c>
    </row>
    <row r="550" spans="1:7">
      <c r="A550" s="7" t="s">
        <v>41</v>
      </c>
      <c r="B550" s="7" t="str">
        <f>"223410014212"</f>
        <v>223410014212</v>
      </c>
      <c r="C550" s="7">
        <v>80</v>
      </c>
      <c r="D550" s="7">
        <v>82.5</v>
      </c>
      <c r="E550" s="7">
        <f t="shared" si="20"/>
        <v>81</v>
      </c>
      <c r="F550" s="7"/>
      <c r="G550" s="7">
        <f t="shared" si="21"/>
        <v>81</v>
      </c>
    </row>
    <row r="551" spans="1:7">
      <c r="A551" s="7" t="s">
        <v>41</v>
      </c>
      <c r="B551" s="7" t="str">
        <f>"223410013904"</f>
        <v>223410013904</v>
      </c>
      <c r="C551" s="7">
        <v>85</v>
      </c>
      <c r="D551" s="7">
        <v>74</v>
      </c>
      <c r="E551" s="7">
        <f t="shared" si="20"/>
        <v>80.6</v>
      </c>
      <c r="F551" s="7"/>
      <c r="G551" s="7">
        <f t="shared" si="21"/>
        <v>80.6</v>
      </c>
    </row>
    <row r="552" spans="1:7">
      <c r="A552" s="7" t="s">
        <v>41</v>
      </c>
      <c r="B552" s="7" t="str">
        <f>"223410014207"</f>
        <v>223410014207</v>
      </c>
      <c r="C552" s="7">
        <v>84</v>
      </c>
      <c r="D552" s="7">
        <v>71.5</v>
      </c>
      <c r="E552" s="7">
        <f t="shared" si="20"/>
        <v>79</v>
      </c>
      <c r="F552" s="7"/>
      <c r="G552" s="7">
        <f t="shared" si="21"/>
        <v>79</v>
      </c>
    </row>
    <row r="553" spans="1:7">
      <c r="A553" s="7" t="s">
        <v>41</v>
      </c>
      <c r="B553" s="7" t="str">
        <f>"223410013611"</f>
        <v>223410013611</v>
      </c>
      <c r="C553" s="7">
        <v>85</v>
      </c>
      <c r="D553" s="7">
        <v>64</v>
      </c>
      <c r="E553" s="7">
        <f t="shared" si="20"/>
        <v>76.6</v>
      </c>
      <c r="F553" s="7"/>
      <c r="G553" s="7">
        <f t="shared" si="21"/>
        <v>76.6</v>
      </c>
    </row>
    <row r="554" spans="1:7">
      <c r="A554" s="7" t="s">
        <v>41</v>
      </c>
      <c r="B554" s="7" t="str">
        <f>"223410013814"</f>
        <v>223410013814</v>
      </c>
      <c r="C554" s="7">
        <v>80</v>
      </c>
      <c r="D554" s="7">
        <v>65</v>
      </c>
      <c r="E554" s="7">
        <f t="shared" si="20"/>
        <v>74</v>
      </c>
      <c r="F554" s="7"/>
      <c r="G554" s="7">
        <f t="shared" si="21"/>
        <v>74</v>
      </c>
    </row>
    <row r="555" spans="1:7">
      <c r="A555" s="7" t="s">
        <v>41</v>
      </c>
      <c r="B555" s="7" t="str">
        <f>"223410013921"</f>
        <v>223410013921</v>
      </c>
      <c r="C555" s="7">
        <v>74</v>
      </c>
      <c r="D555" s="7">
        <v>65</v>
      </c>
      <c r="E555" s="7">
        <f t="shared" si="20"/>
        <v>70.4</v>
      </c>
      <c r="F555" s="7"/>
      <c r="G555" s="7">
        <f t="shared" si="21"/>
        <v>70.4</v>
      </c>
    </row>
    <row r="556" spans="1:7">
      <c r="A556" s="7" t="s">
        <v>41</v>
      </c>
      <c r="B556" s="7" t="str">
        <f>"223410013807"</f>
        <v>223410013807</v>
      </c>
      <c r="C556" s="7">
        <v>81</v>
      </c>
      <c r="D556" s="7">
        <v>49</v>
      </c>
      <c r="E556" s="7">
        <f t="shared" si="20"/>
        <v>68.2</v>
      </c>
      <c r="F556" s="7"/>
      <c r="G556" s="7">
        <f t="shared" si="21"/>
        <v>68.2</v>
      </c>
    </row>
    <row r="557" spans="1:7">
      <c r="A557" s="7" t="s">
        <v>41</v>
      </c>
      <c r="B557" s="7" t="str">
        <f>"223410013925"</f>
        <v>223410013925</v>
      </c>
      <c r="C557" s="7">
        <v>71</v>
      </c>
      <c r="D557" s="7">
        <v>64</v>
      </c>
      <c r="E557" s="7">
        <f t="shared" si="20"/>
        <v>68.2</v>
      </c>
      <c r="F557" s="7"/>
      <c r="G557" s="7">
        <f t="shared" si="21"/>
        <v>68.2</v>
      </c>
    </row>
    <row r="558" spans="1:7">
      <c r="A558" s="7" t="s">
        <v>41</v>
      </c>
      <c r="B558" s="7" t="str">
        <f>"223410013914"</f>
        <v>223410013914</v>
      </c>
      <c r="C558" s="7">
        <v>66</v>
      </c>
      <c r="D558" s="7">
        <v>71</v>
      </c>
      <c r="E558" s="7">
        <f t="shared" si="20"/>
        <v>68</v>
      </c>
      <c r="F558" s="7"/>
      <c r="G558" s="7">
        <f t="shared" si="21"/>
        <v>68</v>
      </c>
    </row>
    <row r="559" spans="1:7">
      <c r="A559" s="7" t="s">
        <v>41</v>
      </c>
      <c r="B559" s="7" t="str">
        <f>"223410014012"</f>
        <v>223410014012</v>
      </c>
      <c r="C559" s="7">
        <v>76</v>
      </c>
      <c r="D559" s="7">
        <v>55</v>
      </c>
      <c r="E559" s="7">
        <f t="shared" si="20"/>
        <v>67.6</v>
      </c>
      <c r="F559" s="7"/>
      <c r="G559" s="7">
        <f t="shared" si="21"/>
        <v>67.6</v>
      </c>
    </row>
    <row r="560" spans="1:7">
      <c r="A560" s="7" t="s">
        <v>41</v>
      </c>
      <c r="B560" s="7" t="str">
        <f>"223410014024"</f>
        <v>223410014024</v>
      </c>
      <c r="C560" s="7">
        <v>73</v>
      </c>
      <c r="D560" s="7">
        <v>53</v>
      </c>
      <c r="E560" s="7">
        <f t="shared" si="20"/>
        <v>65</v>
      </c>
      <c r="F560" s="7"/>
      <c r="G560" s="7">
        <f t="shared" si="21"/>
        <v>65</v>
      </c>
    </row>
    <row r="561" spans="1:7">
      <c r="A561" s="7" t="s">
        <v>41</v>
      </c>
      <c r="B561" s="7" t="str">
        <f>"223410013908"</f>
        <v>223410013908</v>
      </c>
      <c r="C561" s="7">
        <v>65</v>
      </c>
      <c r="D561" s="7">
        <v>61.5</v>
      </c>
      <c r="E561" s="7">
        <f t="shared" si="20"/>
        <v>63.6</v>
      </c>
      <c r="F561" s="7"/>
      <c r="G561" s="7">
        <f t="shared" si="21"/>
        <v>63.6</v>
      </c>
    </row>
    <row r="562" spans="1:7">
      <c r="A562" s="7" t="s">
        <v>41</v>
      </c>
      <c r="B562" s="7" t="str">
        <f>"223410014002"</f>
        <v>223410014002</v>
      </c>
      <c r="C562" s="7">
        <v>55</v>
      </c>
      <c r="D562" s="7">
        <v>57</v>
      </c>
      <c r="E562" s="7">
        <f t="shared" si="20"/>
        <v>55.8</v>
      </c>
      <c r="F562" s="7"/>
      <c r="G562" s="7">
        <f t="shared" si="21"/>
        <v>55.8</v>
      </c>
    </row>
    <row r="563" spans="1:7">
      <c r="A563" s="7" t="s">
        <v>41</v>
      </c>
      <c r="B563" s="7" t="str">
        <f>"223410013816"</f>
        <v>223410013816</v>
      </c>
      <c r="C563" s="7">
        <v>63</v>
      </c>
      <c r="D563" s="7" t="s">
        <v>9</v>
      </c>
      <c r="E563" s="7">
        <f>C563*0.6</f>
        <v>37.8</v>
      </c>
      <c r="F563" s="7"/>
      <c r="G563" s="7">
        <f t="shared" si="21"/>
        <v>37.8</v>
      </c>
    </row>
    <row r="564" spans="1:7">
      <c r="A564" s="7" t="s">
        <v>41</v>
      </c>
      <c r="B564" s="7" t="str">
        <f>"223410013728"</f>
        <v>223410013728</v>
      </c>
      <c r="C564" s="7">
        <v>25</v>
      </c>
      <c r="D564" s="7" t="s">
        <v>9</v>
      </c>
      <c r="E564" s="7">
        <f>C564*0.6</f>
        <v>15</v>
      </c>
      <c r="F564" s="7"/>
      <c r="G564" s="7">
        <f t="shared" si="21"/>
        <v>15</v>
      </c>
    </row>
    <row r="565" spans="1:7">
      <c r="A565" s="7" t="s">
        <v>42</v>
      </c>
      <c r="B565" s="7" t="str">
        <f>"223410024606"</f>
        <v>223410024606</v>
      </c>
      <c r="C565" s="7" t="s">
        <v>9</v>
      </c>
      <c r="D565" s="7" t="s">
        <v>9</v>
      </c>
      <c r="E565" s="7" t="s">
        <v>9</v>
      </c>
      <c r="F565" s="7"/>
      <c r="G565" s="7" t="s">
        <v>9</v>
      </c>
    </row>
    <row r="566" spans="1:7">
      <c r="A566" s="7" t="s">
        <v>42</v>
      </c>
      <c r="B566" s="7" t="str">
        <f>"223410024702"</f>
        <v>223410024702</v>
      </c>
      <c r="C566" s="7">
        <v>53</v>
      </c>
      <c r="D566" s="7">
        <v>56</v>
      </c>
      <c r="E566" s="7">
        <f>C566*0.6+D566*0.4</f>
        <v>54.2</v>
      </c>
      <c r="F566" s="7"/>
      <c r="G566" s="7">
        <f>E566+F566</f>
        <v>54.2</v>
      </c>
    </row>
    <row r="567" spans="1:7">
      <c r="A567" s="7" t="s">
        <v>42</v>
      </c>
      <c r="B567" s="7" t="str">
        <f>"223410024708"</f>
        <v>223410024708</v>
      </c>
      <c r="C567" s="7">
        <v>42</v>
      </c>
      <c r="D567" s="7">
        <v>56</v>
      </c>
      <c r="E567" s="7">
        <f>C567*0.6+D567*0.4</f>
        <v>47.6</v>
      </c>
      <c r="F567" s="7"/>
      <c r="G567" s="7">
        <f>E567+F567</f>
        <v>47.6</v>
      </c>
    </row>
    <row r="568" spans="1:7">
      <c r="A568" s="7" t="s">
        <v>43</v>
      </c>
      <c r="B568" s="7" t="str">
        <f>"223410023701"</f>
        <v>223410023701</v>
      </c>
      <c r="C568" s="7" t="s">
        <v>9</v>
      </c>
      <c r="D568" s="7" t="s">
        <v>9</v>
      </c>
      <c r="E568" s="7" t="s">
        <v>9</v>
      </c>
      <c r="F568" s="7"/>
      <c r="G568" s="7" t="s">
        <v>9</v>
      </c>
    </row>
    <row r="569" spans="1:7">
      <c r="A569" s="7" t="s">
        <v>43</v>
      </c>
      <c r="B569" s="7" t="str">
        <f>"223410023725"</f>
        <v>223410023725</v>
      </c>
      <c r="C569" s="7" t="s">
        <v>9</v>
      </c>
      <c r="D569" s="7" t="s">
        <v>9</v>
      </c>
      <c r="E569" s="7" t="s">
        <v>9</v>
      </c>
      <c r="F569" s="7"/>
      <c r="G569" s="7" t="s">
        <v>9</v>
      </c>
    </row>
    <row r="570" spans="1:7">
      <c r="A570" s="7" t="s">
        <v>43</v>
      </c>
      <c r="B570" s="7" t="str">
        <f>"223410023917"</f>
        <v>223410023917</v>
      </c>
      <c r="C570" s="7" t="s">
        <v>9</v>
      </c>
      <c r="D570" s="7" t="s">
        <v>9</v>
      </c>
      <c r="E570" s="7" t="s">
        <v>9</v>
      </c>
      <c r="F570" s="7"/>
      <c r="G570" s="7" t="s">
        <v>9</v>
      </c>
    </row>
    <row r="571" spans="1:7">
      <c r="A571" s="7" t="s">
        <v>43</v>
      </c>
      <c r="B571" s="7" t="str">
        <f>"223410024015"</f>
        <v>223410024015</v>
      </c>
      <c r="C571" s="7" t="s">
        <v>9</v>
      </c>
      <c r="D571" s="7" t="s">
        <v>9</v>
      </c>
      <c r="E571" s="7" t="s">
        <v>9</v>
      </c>
      <c r="F571" s="7"/>
      <c r="G571" s="7" t="s">
        <v>9</v>
      </c>
    </row>
    <row r="572" spans="1:7">
      <c r="A572" s="7" t="s">
        <v>43</v>
      </c>
      <c r="B572" s="7" t="str">
        <f>"223410024021"</f>
        <v>223410024021</v>
      </c>
      <c r="C572" s="7" t="s">
        <v>9</v>
      </c>
      <c r="D572" s="7" t="s">
        <v>9</v>
      </c>
      <c r="E572" s="7" t="s">
        <v>9</v>
      </c>
      <c r="F572" s="7"/>
      <c r="G572" s="7" t="s">
        <v>9</v>
      </c>
    </row>
    <row r="573" spans="1:7">
      <c r="A573" s="7" t="s">
        <v>43</v>
      </c>
      <c r="B573" s="7" t="str">
        <f>"223410024114"</f>
        <v>223410024114</v>
      </c>
      <c r="C573" s="7" t="s">
        <v>9</v>
      </c>
      <c r="D573" s="7" t="s">
        <v>9</v>
      </c>
      <c r="E573" s="7" t="s">
        <v>9</v>
      </c>
      <c r="F573" s="7"/>
      <c r="G573" s="7" t="s">
        <v>9</v>
      </c>
    </row>
    <row r="574" spans="1:7">
      <c r="A574" s="7" t="s">
        <v>43</v>
      </c>
      <c r="B574" s="7" t="str">
        <f>"223410023821"</f>
        <v>223410023821</v>
      </c>
      <c r="C574" s="7">
        <v>89</v>
      </c>
      <c r="D574" s="7">
        <v>57</v>
      </c>
      <c r="E574" s="7">
        <f t="shared" ref="E574:E582" si="22">C574*0.6+D574*0.4</f>
        <v>76.2</v>
      </c>
      <c r="F574" s="7"/>
      <c r="G574" s="7">
        <f t="shared" ref="G574:G582" si="23">E574+F574</f>
        <v>76.2</v>
      </c>
    </row>
    <row r="575" spans="1:7">
      <c r="A575" s="7" t="s">
        <v>43</v>
      </c>
      <c r="B575" s="7" t="str">
        <f>"223410024106"</f>
        <v>223410024106</v>
      </c>
      <c r="C575" s="7">
        <v>84</v>
      </c>
      <c r="D575" s="7">
        <v>59.5</v>
      </c>
      <c r="E575" s="7">
        <f t="shared" si="22"/>
        <v>74.2</v>
      </c>
      <c r="F575" s="7"/>
      <c r="G575" s="7">
        <f t="shared" si="23"/>
        <v>74.2</v>
      </c>
    </row>
    <row r="576" spans="1:7">
      <c r="A576" s="7" t="s">
        <v>43</v>
      </c>
      <c r="B576" s="7" t="str">
        <f>"223410023705"</f>
        <v>223410023705</v>
      </c>
      <c r="C576" s="7">
        <v>78</v>
      </c>
      <c r="D576" s="7">
        <v>66</v>
      </c>
      <c r="E576" s="7">
        <f t="shared" si="22"/>
        <v>73.2</v>
      </c>
      <c r="F576" s="7"/>
      <c r="G576" s="7">
        <f t="shared" si="23"/>
        <v>73.2</v>
      </c>
    </row>
    <row r="577" spans="1:7">
      <c r="A577" s="7" t="s">
        <v>43</v>
      </c>
      <c r="B577" s="7" t="str">
        <f>"223410023704"</f>
        <v>223410023704</v>
      </c>
      <c r="C577" s="7">
        <v>81.5</v>
      </c>
      <c r="D577" s="7">
        <v>57</v>
      </c>
      <c r="E577" s="7">
        <f t="shared" si="22"/>
        <v>71.7</v>
      </c>
      <c r="F577" s="7"/>
      <c r="G577" s="7">
        <f t="shared" si="23"/>
        <v>71.7</v>
      </c>
    </row>
    <row r="578" spans="1:7">
      <c r="A578" s="7" t="s">
        <v>43</v>
      </c>
      <c r="B578" s="7" t="str">
        <f>"223410023927"</f>
        <v>223410023927</v>
      </c>
      <c r="C578" s="7">
        <v>71</v>
      </c>
      <c r="D578" s="7">
        <v>59</v>
      </c>
      <c r="E578" s="7">
        <f t="shared" si="22"/>
        <v>66.2</v>
      </c>
      <c r="F578" s="7"/>
      <c r="G578" s="7">
        <f t="shared" si="23"/>
        <v>66.2</v>
      </c>
    </row>
    <row r="579" spans="1:7">
      <c r="A579" s="7" t="s">
        <v>43</v>
      </c>
      <c r="B579" s="7" t="str">
        <f>"223410024204"</f>
        <v>223410024204</v>
      </c>
      <c r="C579" s="7">
        <v>73.5</v>
      </c>
      <c r="D579" s="7">
        <v>55</v>
      </c>
      <c r="E579" s="7">
        <f t="shared" si="22"/>
        <v>66.1</v>
      </c>
      <c r="F579" s="7"/>
      <c r="G579" s="7">
        <f t="shared" si="23"/>
        <v>66.1</v>
      </c>
    </row>
    <row r="580" spans="1:7">
      <c r="A580" s="7" t="s">
        <v>43</v>
      </c>
      <c r="B580" s="7" t="str">
        <f>"223410023803"</f>
        <v>223410023803</v>
      </c>
      <c r="C580" s="7">
        <v>69</v>
      </c>
      <c r="D580" s="7">
        <v>60</v>
      </c>
      <c r="E580" s="7">
        <f t="shared" si="22"/>
        <v>65.4</v>
      </c>
      <c r="F580" s="7"/>
      <c r="G580" s="7">
        <f t="shared" si="23"/>
        <v>65.4</v>
      </c>
    </row>
    <row r="581" spans="1:7">
      <c r="A581" s="7" t="s">
        <v>43</v>
      </c>
      <c r="B581" s="7" t="str">
        <f>"223410024023"</f>
        <v>223410024023</v>
      </c>
      <c r="C581" s="7">
        <v>68</v>
      </c>
      <c r="D581" s="7">
        <v>52</v>
      </c>
      <c r="E581" s="7">
        <f t="shared" si="22"/>
        <v>61.6</v>
      </c>
      <c r="F581" s="7"/>
      <c r="G581" s="7">
        <f t="shared" si="23"/>
        <v>61.6</v>
      </c>
    </row>
    <row r="582" spans="1:7">
      <c r="A582" s="7" t="s">
        <v>43</v>
      </c>
      <c r="B582" s="7" t="str">
        <f>"223410023824"</f>
        <v>223410023824</v>
      </c>
      <c r="C582" s="7">
        <v>63</v>
      </c>
      <c r="D582" s="7">
        <v>39</v>
      </c>
      <c r="E582" s="7">
        <f t="shared" si="22"/>
        <v>53.4</v>
      </c>
      <c r="F582" s="7"/>
      <c r="G582" s="7">
        <f t="shared" si="23"/>
        <v>53.4</v>
      </c>
    </row>
    <row r="583" spans="1:7">
      <c r="A583" s="7" t="s">
        <v>44</v>
      </c>
      <c r="B583" s="7" t="str">
        <f>"223410014104"</f>
        <v>223410014104</v>
      </c>
      <c r="C583" s="7" t="s">
        <v>9</v>
      </c>
      <c r="D583" s="7" t="s">
        <v>9</v>
      </c>
      <c r="E583" s="7" t="s">
        <v>9</v>
      </c>
      <c r="F583" s="7"/>
      <c r="G583" s="7" t="s">
        <v>9</v>
      </c>
    </row>
    <row r="584" spans="1:7">
      <c r="A584" s="7" t="s">
        <v>44</v>
      </c>
      <c r="B584" s="7" t="str">
        <f>"223410013801"</f>
        <v>223410013801</v>
      </c>
      <c r="C584" s="7">
        <v>96</v>
      </c>
      <c r="D584" s="7">
        <v>84</v>
      </c>
      <c r="E584" s="7">
        <f t="shared" ref="E584:E597" si="24">C584*0.6+D584*0.4</f>
        <v>91.2</v>
      </c>
      <c r="F584" s="7"/>
      <c r="G584" s="7">
        <f t="shared" ref="G584:G598" si="25">E584+F584</f>
        <v>91.2</v>
      </c>
    </row>
    <row r="585" spans="1:7">
      <c r="A585" s="7" t="s">
        <v>44</v>
      </c>
      <c r="B585" s="7" t="str">
        <f>"223410013608"</f>
        <v>223410013608</v>
      </c>
      <c r="C585" s="7">
        <v>96</v>
      </c>
      <c r="D585" s="7">
        <v>83</v>
      </c>
      <c r="E585" s="7">
        <f t="shared" si="24"/>
        <v>90.8</v>
      </c>
      <c r="F585" s="7"/>
      <c r="G585" s="7">
        <f t="shared" si="25"/>
        <v>90.8</v>
      </c>
    </row>
    <row r="586" spans="1:7">
      <c r="A586" s="7" t="s">
        <v>44</v>
      </c>
      <c r="B586" s="7" t="str">
        <f>"223410013906"</f>
        <v>223410013906</v>
      </c>
      <c r="C586" s="7">
        <v>95</v>
      </c>
      <c r="D586" s="7">
        <v>80</v>
      </c>
      <c r="E586" s="7">
        <f t="shared" si="24"/>
        <v>89</v>
      </c>
      <c r="F586" s="7"/>
      <c r="G586" s="7">
        <f t="shared" si="25"/>
        <v>89</v>
      </c>
    </row>
    <row r="587" spans="1:7">
      <c r="A587" s="7" t="s">
        <v>44</v>
      </c>
      <c r="B587" s="7" t="str">
        <f>"223410014205"</f>
        <v>223410014205</v>
      </c>
      <c r="C587" s="7">
        <v>91</v>
      </c>
      <c r="D587" s="7">
        <v>80.5</v>
      </c>
      <c r="E587" s="7">
        <f t="shared" si="24"/>
        <v>86.8</v>
      </c>
      <c r="F587" s="7"/>
      <c r="G587" s="7">
        <f t="shared" si="25"/>
        <v>86.8</v>
      </c>
    </row>
    <row r="588" spans="1:7">
      <c r="A588" s="7" t="s">
        <v>44</v>
      </c>
      <c r="B588" s="7" t="str">
        <f>"223410013701"</f>
        <v>223410013701</v>
      </c>
      <c r="C588" s="7">
        <v>97</v>
      </c>
      <c r="D588" s="7">
        <v>65</v>
      </c>
      <c r="E588" s="7">
        <f t="shared" si="24"/>
        <v>84.2</v>
      </c>
      <c r="F588" s="7"/>
      <c r="G588" s="7">
        <f t="shared" si="25"/>
        <v>84.2</v>
      </c>
    </row>
    <row r="589" spans="1:7">
      <c r="A589" s="7" t="s">
        <v>44</v>
      </c>
      <c r="B589" s="7" t="str">
        <f>"223410013920"</f>
        <v>223410013920</v>
      </c>
      <c r="C589" s="7">
        <v>88</v>
      </c>
      <c r="D589" s="7">
        <v>78</v>
      </c>
      <c r="E589" s="7">
        <f t="shared" si="24"/>
        <v>84</v>
      </c>
      <c r="F589" s="7"/>
      <c r="G589" s="7">
        <f t="shared" si="25"/>
        <v>84</v>
      </c>
    </row>
    <row r="590" spans="1:7">
      <c r="A590" s="7" t="s">
        <v>44</v>
      </c>
      <c r="B590" s="7" t="str">
        <f>"223410013709"</f>
        <v>223410013709</v>
      </c>
      <c r="C590" s="7">
        <v>90</v>
      </c>
      <c r="D590" s="7">
        <v>68</v>
      </c>
      <c r="E590" s="7">
        <f t="shared" si="24"/>
        <v>81.2</v>
      </c>
      <c r="F590" s="7"/>
      <c r="G590" s="7">
        <f t="shared" si="25"/>
        <v>81.2</v>
      </c>
    </row>
    <row r="591" spans="1:7">
      <c r="A591" s="7" t="s">
        <v>44</v>
      </c>
      <c r="B591" s="7" t="str">
        <f>"223410013729"</f>
        <v>223410013729</v>
      </c>
      <c r="C591" s="7">
        <v>91</v>
      </c>
      <c r="D591" s="7">
        <v>63</v>
      </c>
      <c r="E591" s="7">
        <f t="shared" si="24"/>
        <v>79.8</v>
      </c>
      <c r="F591" s="7"/>
      <c r="G591" s="7">
        <f t="shared" si="25"/>
        <v>79.8</v>
      </c>
    </row>
    <row r="592" spans="1:7">
      <c r="A592" s="7" t="s">
        <v>44</v>
      </c>
      <c r="B592" s="7" t="str">
        <f>"223410014019"</f>
        <v>223410014019</v>
      </c>
      <c r="C592" s="7">
        <v>81</v>
      </c>
      <c r="D592" s="7">
        <v>77</v>
      </c>
      <c r="E592" s="7">
        <f t="shared" si="24"/>
        <v>79.4</v>
      </c>
      <c r="F592" s="7"/>
      <c r="G592" s="7">
        <f t="shared" si="25"/>
        <v>79.4</v>
      </c>
    </row>
    <row r="593" spans="1:7">
      <c r="A593" s="7" t="s">
        <v>44</v>
      </c>
      <c r="B593" s="7" t="str">
        <f>"223410013713"</f>
        <v>223410013713</v>
      </c>
      <c r="C593" s="7">
        <v>93</v>
      </c>
      <c r="D593" s="7">
        <v>57</v>
      </c>
      <c r="E593" s="7">
        <f t="shared" si="24"/>
        <v>78.6</v>
      </c>
      <c r="F593" s="7"/>
      <c r="G593" s="7">
        <f t="shared" si="25"/>
        <v>78.6</v>
      </c>
    </row>
    <row r="594" spans="1:7">
      <c r="A594" s="7" t="s">
        <v>44</v>
      </c>
      <c r="B594" s="7" t="str">
        <f>"223410014016"</f>
        <v>223410014016</v>
      </c>
      <c r="C594" s="7">
        <v>62</v>
      </c>
      <c r="D594" s="7">
        <v>69</v>
      </c>
      <c r="E594" s="7">
        <f t="shared" si="24"/>
        <v>64.8</v>
      </c>
      <c r="F594" s="7"/>
      <c r="G594" s="7">
        <f t="shared" si="25"/>
        <v>64.8</v>
      </c>
    </row>
    <row r="595" spans="1:7">
      <c r="A595" s="7" t="s">
        <v>44</v>
      </c>
      <c r="B595" s="7" t="str">
        <f>"223410014105"</f>
        <v>223410014105</v>
      </c>
      <c r="C595" s="7">
        <v>58</v>
      </c>
      <c r="D595" s="7">
        <v>57</v>
      </c>
      <c r="E595" s="7">
        <f t="shared" si="24"/>
        <v>57.6</v>
      </c>
      <c r="F595" s="7"/>
      <c r="G595" s="7">
        <f t="shared" si="25"/>
        <v>57.6</v>
      </c>
    </row>
    <row r="596" spans="1:7">
      <c r="A596" s="7" t="s">
        <v>44</v>
      </c>
      <c r="B596" s="7" t="str">
        <f>"223410014204"</f>
        <v>223410014204</v>
      </c>
      <c r="C596" s="7">
        <v>52</v>
      </c>
      <c r="D596" s="7">
        <v>57.5</v>
      </c>
      <c r="E596" s="7">
        <f t="shared" si="24"/>
        <v>54.2</v>
      </c>
      <c r="F596" s="7"/>
      <c r="G596" s="7">
        <f t="shared" si="25"/>
        <v>54.2</v>
      </c>
    </row>
    <row r="597" spans="1:7">
      <c r="A597" s="7" t="s">
        <v>44</v>
      </c>
      <c r="B597" s="7" t="str">
        <f>"223410014126"</f>
        <v>223410014126</v>
      </c>
      <c r="C597" s="7">
        <v>63</v>
      </c>
      <c r="D597" s="7">
        <v>40</v>
      </c>
      <c r="E597" s="7">
        <f t="shared" si="24"/>
        <v>53.8</v>
      </c>
      <c r="F597" s="7"/>
      <c r="G597" s="7">
        <f t="shared" si="25"/>
        <v>53.8</v>
      </c>
    </row>
    <row r="598" spans="1:7">
      <c r="A598" s="7" t="s">
        <v>44</v>
      </c>
      <c r="B598" s="7" t="str">
        <f>"223410014125"</f>
        <v>223410014125</v>
      </c>
      <c r="C598" s="7">
        <v>24</v>
      </c>
      <c r="D598" s="7" t="s">
        <v>9</v>
      </c>
      <c r="E598" s="7">
        <f>C598*0.6</f>
        <v>14.4</v>
      </c>
      <c r="F598" s="7"/>
      <c r="G598" s="7">
        <f t="shared" si="25"/>
        <v>14.4</v>
      </c>
    </row>
    <row r="599" spans="1:7">
      <c r="A599" s="7" t="s">
        <v>45</v>
      </c>
      <c r="B599" s="7" t="str">
        <f>"223410011824"</f>
        <v>223410011824</v>
      </c>
      <c r="C599" s="7" t="s">
        <v>9</v>
      </c>
      <c r="D599" s="7" t="s">
        <v>9</v>
      </c>
      <c r="E599" s="7" t="s">
        <v>9</v>
      </c>
      <c r="F599" s="7"/>
      <c r="G599" s="7" t="s">
        <v>9</v>
      </c>
    </row>
    <row r="600" spans="1:7">
      <c r="A600" s="7" t="s">
        <v>45</v>
      </c>
      <c r="B600" s="7" t="str">
        <f>"223410012215"</f>
        <v>223410012215</v>
      </c>
      <c r="C600" s="7" t="s">
        <v>9</v>
      </c>
      <c r="D600" s="7" t="s">
        <v>9</v>
      </c>
      <c r="E600" s="7" t="s">
        <v>9</v>
      </c>
      <c r="F600" s="7"/>
      <c r="G600" s="7" t="s">
        <v>9</v>
      </c>
    </row>
    <row r="601" spans="1:7">
      <c r="A601" s="7" t="s">
        <v>45</v>
      </c>
      <c r="B601" s="7" t="str">
        <f>"223410012608"</f>
        <v>223410012608</v>
      </c>
      <c r="C601" s="7" t="s">
        <v>9</v>
      </c>
      <c r="D601" s="7" t="s">
        <v>9</v>
      </c>
      <c r="E601" s="7" t="s">
        <v>9</v>
      </c>
      <c r="F601" s="7"/>
      <c r="G601" s="7" t="s">
        <v>9</v>
      </c>
    </row>
    <row r="602" spans="1:7">
      <c r="A602" s="7" t="s">
        <v>45</v>
      </c>
      <c r="B602" s="7" t="str">
        <f>"223410011508"</f>
        <v>223410011508</v>
      </c>
      <c r="C602" s="7">
        <v>89</v>
      </c>
      <c r="D602" s="7">
        <v>78</v>
      </c>
      <c r="E602" s="7">
        <f t="shared" ref="E602:E614" si="26">C602*0.6+D602*0.4</f>
        <v>84.6</v>
      </c>
      <c r="F602" s="7"/>
      <c r="G602" s="7">
        <f t="shared" ref="G602:G614" si="27">E602+F602</f>
        <v>84.6</v>
      </c>
    </row>
    <row r="603" spans="1:7">
      <c r="A603" s="7" t="s">
        <v>45</v>
      </c>
      <c r="B603" s="7" t="str">
        <f>"223410010511"</f>
        <v>223410010511</v>
      </c>
      <c r="C603" s="7">
        <v>79</v>
      </c>
      <c r="D603" s="7">
        <v>81</v>
      </c>
      <c r="E603" s="7">
        <f t="shared" si="26"/>
        <v>79.8</v>
      </c>
      <c r="F603" s="7"/>
      <c r="G603" s="7">
        <f t="shared" si="27"/>
        <v>79.8</v>
      </c>
    </row>
    <row r="604" spans="1:7">
      <c r="A604" s="7" t="s">
        <v>45</v>
      </c>
      <c r="B604" s="7" t="str">
        <f>"223410011125"</f>
        <v>223410011125</v>
      </c>
      <c r="C604" s="7">
        <v>90</v>
      </c>
      <c r="D604" s="7">
        <v>61</v>
      </c>
      <c r="E604" s="7">
        <f t="shared" si="26"/>
        <v>78.4</v>
      </c>
      <c r="F604" s="7"/>
      <c r="G604" s="7">
        <f t="shared" si="27"/>
        <v>78.4</v>
      </c>
    </row>
    <row r="605" spans="1:7">
      <c r="A605" s="7" t="s">
        <v>45</v>
      </c>
      <c r="B605" s="7" t="str">
        <f>"223410011019"</f>
        <v>223410011019</v>
      </c>
      <c r="C605" s="7">
        <v>78</v>
      </c>
      <c r="D605" s="7">
        <v>69</v>
      </c>
      <c r="E605" s="7">
        <f t="shared" si="26"/>
        <v>74.4</v>
      </c>
      <c r="F605" s="7"/>
      <c r="G605" s="7">
        <f t="shared" si="27"/>
        <v>74.4</v>
      </c>
    </row>
    <row r="606" spans="1:7">
      <c r="A606" s="7" t="s">
        <v>45</v>
      </c>
      <c r="B606" s="7" t="str">
        <f>"223410011305"</f>
        <v>223410011305</v>
      </c>
      <c r="C606" s="7">
        <v>76</v>
      </c>
      <c r="D606" s="7">
        <v>72</v>
      </c>
      <c r="E606" s="7">
        <f t="shared" si="26"/>
        <v>74.4</v>
      </c>
      <c r="F606" s="7"/>
      <c r="G606" s="7">
        <f t="shared" si="27"/>
        <v>74.4</v>
      </c>
    </row>
    <row r="607" spans="1:7">
      <c r="A607" s="7" t="s">
        <v>45</v>
      </c>
      <c r="B607" s="7" t="str">
        <f>"223410013124"</f>
        <v>223410013124</v>
      </c>
      <c r="C607" s="7">
        <v>71</v>
      </c>
      <c r="D607" s="7">
        <v>77</v>
      </c>
      <c r="E607" s="7">
        <f t="shared" si="26"/>
        <v>73.4</v>
      </c>
      <c r="F607" s="7"/>
      <c r="G607" s="7">
        <f t="shared" si="27"/>
        <v>73.4</v>
      </c>
    </row>
    <row r="608" spans="1:7">
      <c r="A608" s="7" t="s">
        <v>45</v>
      </c>
      <c r="B608" s="7" t="str">
        <f>"223410013419"</f>
        <v>223410013419</v>
      </c>
      <c r="C608" s="7">
        <v>71</v>
      </c>
      <c r="D608" s="7">
        <v>69.5</v>
      </c>
      <c r="E608" s="7">
        <f t="shared" si="26"/>
        <v>70.4</v>
      </c>
      <c r="F608" s="7"/>
      <c r="G608" s="7">
        <f t="shared" si="27"/>
        <v>70.4</v>
      </c>
    </row>
    <row r="609" spans="1:7">
      <c r="A609" s="7" t="s">
        <v>45</v>
      </c>
      <c r="B609" s="7" t="str">
        <f>"223410010830"</f>
        <v>223410010830</v>
      </c>
      <c r="C609" s="7">
        <v>79</v>
      </c>
      <c r="D609" s="7">
        <v>54</v>
      </c>
      <c r="E609" s="7">
        <f t="shared" si="26"/>
        <v>69</v>
      </c>
      <c r="F609" s="7"/>
      <c r="G609" s="7">
        <f t="shared" si="27"/>
        <v>69</v>
      </c>
    </row>
    <row r="610" spans="1:7">
      <c r="A610" s="7" t="s">
        <v>45</v>
      </c>
      <c r="B610" s="7" t="str">
        <f>"223410010201"</f>
        <v>223410010201</v>
      </c>
      <c r="C610" s="7">
        <v>76</v>
      </c>
      <c r="D610" s="7">
        <v>55</v>
      </c>
      <c r="E610" s="7">
        <f t="shared" si="26"/>
        <v>67.6</v>
      </c>
      <c r="F610" s="7"/>
      <c r="G610" s="7">
        <f t="shared" si="27"/>
        <v>67.6</v>
      </c>
    </row>
    <row r="611" spans="1:7">
      <c r="A611" s="7" t="s">
        <v>45</v>
      </c>
      <c r="B611" s="7" t="str">
        <f>"223410011725"</f>
        <v>223410011725</v>
      </c>
      <c r="C611" s="7">
        <v>73</v>
      </c>
      <c r="D611" s="7">
        <v>55</v>
      </c>
      <c r="E611" s="7">
        <f t="shared" si="26"/>
        <v>65.8</v>
      </c>
      <c r="F611" s="7"/>
      <c r="G611" s="7">
        <f t="shared" si="27"/>
        <v>65.8</v>
      </c>
    </row>
    <row r="612" spans="1:7">
      <c r="A612" s="7" t="s">
        <v>45</v>
      </c>
      <c r="B612" s="7" t="str">
        <f>"223410010609"</f>
        <v>223410010609</v>
      </c>
      <c r="C612" s="7">
        <v>67</v>
      </c>
      <c r="D612" s="7">
        <v>61</v>
      </c>
      <c r="E612" s="7">
        <f t="shared" si="26"/>
        <v>64.6</v>
      </c>
      <c r="F612" s="7"/>
      <c r="G612" s="7">
        <f t="shared" si="27"/>
        <v>64.6</v>
      </c>
    </row>
    <row r="613" spans="1:7">
      <c r="A613" s="7" t="s">
        <v>45</v>
      </c>
      <c r="B613" s="7" t="str">
        <f>"223410010330"</f>
        <v>223410010330</v>
      </c>
      <c r="C613" s="7">
        <v>66</v>
      </c>
      <c r="D613" s="7">
        <v>56</v>
      </c>
      <c r="E613" s="7">
        <f t="shared" si="26"/>
        <v>62</v>
      </c>
      <c r="F613" s="7"/>
      <c r="G613" s="7">
        <f t="shared" si="27"/>
        <v>62</v>
      </c>
    </row>
    <row r="614" spans="1:7">
      <c r="A614" s="7" t="s">
        <v>45</v>
      </c>
      <c r="B614" s="7" t="str">
        <f>"223410010905"</f>
        <v>223410010905</v>
      </c>
      <c r="C614" s="7">
        <v>61</v>
      </c>
      <c r="D614" s="7">
        <v>55</v>
      </c>
      <c r="E614" s="7">
        <f t="shared" si="26"/>
        <v>58.6</v>
      </c>
      <c r="F614" s="7"/>
      <c r="G614" s="7">
        <f t="shared" si="27"/>
        <v>58.6</v>
      </c>
    </row>
  </sheetData>
  <autoFilter ref="A1:G614">
    <extLst/>
  </autoFilter>
  <sortState ref="A2:G614">
    <sortCondition ref="A2:A614"/>
    <sortCondition ref="G2:G614" descending="1"/>
  </sortState>
  <mergeCells count="1">
    <mergeCell ref="A1:G1"/>
  </mergeCells>
  <conditionalFormatting sqref="B3:B62717">
    <cfRule type="expression" dxfId="0" priority="2">
      <formula>AND(SUMPRODUCT(IFERROR(1*(($B$3:$B$62717&amp;"x")=(B3&amp;"x")),0))&gt;1,NOT(ISBLANK(B3)))</formula>
    </cfRule>
  </conditionalFormatting>
  <pageMargins left="0.511805555555556" right="0.275" top="1" bottom="1" header="0.590277777777778" footer="0.5"/>
  <pageSetup paperSize="9" scale="83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11</cp:lastModifiedBy>
  <dcterms:created xsi:type="dcterms:W3CDTF">2022-07-04T10:03:00Z</dcterms:created>
  <dcterms:modified xsi:type="dcterms:W3CDTF">2022-07-22T01:36:43Z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0973B49452944CDD9102A1332CD0A468</vt:lpwstr>
  </property>
  <property fmtid="{D5CDD505-2E9C-101B-9397-08002B2CF9AE}" pid="3" name="KSOProductBuildVer">
    <vt:lpwstr>2052-11.1.0.11875</vt:lpwstr>
  </property>
  <property fmtid="{D5CDD505-2E9C-101B-9397-08002B2CF9AE}" pid="4" name="KSOReadingLayout">
    <vt:bool>true</vt:bool>
  </property>
</Properties>
</file>