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990"/>
  </bookViews>
  <sheets>
    <sheet name="复审" sheetId="3" r:id="rId1"/>
  </sheets>
  <definedNames>
    <definedName name="_xlnm._FilterDatabase" localSheetId="0" hidden="1">复审!$A$3:$F$3</definedName>
  </definedNames>
  <calcPr calcId="144525"/>
</workbook>
</file>

<file path=xl/sharedStrings.xml><?xml version="1.0" encoding="utf-8"?>
<sst xmlns="http://schemas.openxmlformats.org/spreadsheetml/2006/main" count="406" uniqueCount="64">
  <si>
    <t>2020年度利辛县中小学新任教师第二次公开招聘
资格复审人员名单</t>
  </si>
  <si>
    <t>序号</t>
  </si>
  <si>
    <t>报考岗位</t>
  </si>
  <si>
    <t>姓名</t>
  </si>
  <si>
    <t>准考证号</t>
  </si>
  <si>
    <t>教育综
合知识</t>
  </si>
  <si>
    <t>学科专
业知识</t>
  </si>
  <si>
    <t>合成成绩</t>
  </si>
  <si>
    <t>加分</t>
  </si>
  <si>
    <t>总成绩</t>
  </si>
  <si>
    <t>2001_高中语文1组</t>
  </si>
  <si>
    <t>2002_高中语文2组</t>
  </si>
  <si>
    <t>2003_高中数学1组</t>
  </si>
  <si>
    <t>2004_高中数学2组</t>
  </si>
  <si>
    <t>2005_高中英语1组</t>
  </si>
  <si>
    <t>2006_高中英语2组</t>
  </si>
  <si>
    <t>2007_高中物理1组</t>
  </si>
  <si>
    <t>2008_高中物理2组</t>
  </si>
  <si>
    <t>2009_高中化学1组</t>
  </si>
  <si>
    <t>2010_高中化学2组</t>
  </si>
  <si>
    <t>2011_高中生物1组</t>
  </si>
  <si>
    <t>2012_高中生物2组</t>
  </si>
  <si>
    <t>2013_高中思想政治1组</t>
  </si>
  <si>
    <t>2014_高中思想政治2组</t>
  </si>
  <si>
    <t>2015_高中历史1组</t>
  </si>
  <si>
    <t>2016_高中历史2组</t>
  </si>
  <si>
    <t>2017_高中地理1组</t>
  </si>
  <si>
    <t>2018_高中地理2组</t>
  </si>
  <si>
    <t>2019_初中语文1组</t>
  </si>
  <si>
    <t>2020_初中语文2组</t>
  </si>
  <si>
    <t>2021_初中数学1组</t>
  </si>
  <si>
    <t>2022_初中数学2组</t>
  </si>
  <si>
    <t>2023_初中英语1组</t>
  </si>
  <si>
    <t>2024_初中英语2组</t>
  </si>
  <si>
    <t>2025_初中物理1组</t>
  </si>
  <si>
    <t>2026_初中物理2组</t>
  </si>
  <si>
    <t>2027_初中化学1组</t>
  </si>
  <si>
    <t>2028_初中化学2组</t>
  </si>
  <si>
    <t>2029_初中道德与法治1组</t>
  </si>
  <si>
    <t>2030_初中道德与法治2组</t>
  </si>
  <si>
    <t>2031_初中历史1组</t>
  </si>
  <si>
    <t>2032_初中历史2组</t>
  </si>
  <si>
    <t>2033_初中地理1组</t>
  </si>
  <si>
    <t>2034_初中地理2组</t>
  </si>
  <si>
    <t>2035_初中音乐1组</t>
  </si>
  <si>
    <t>2036_初中音乐2组</t>
  </si>
  <si>
    <t>2037_初中体育1组</t>
  </si>
  <si>
    <t>2038_初中体育2组</t>
  </si>
  <si>
    <t>2039_初中美术1组</t>
  </si>
  <si>
    <t>2040_初中美术2组</t>
  </si>
  <si>
    <t>2041_小学语文1组</t>
  </si>
  <si>
    <t>2042_小学语文2组</t>
  </si>
  <si>
    <t>2043_小学数学1组</t>
  </si>
  <si>
    <t>2044_小学数学2组</t>
  </si>
  <si>
    <t>2045_小学英语1组</t>
  </si>
  <si>
    <t>2046_小学英语2组</t>
  </si>
  <si>
    <t>2047_小学音乐1组</t>
  </si>
  <si>
    <t>2048_小学音乐2组</t>
  </si>
  <si>
    <t>2049_小学体育1组</t>
  </si>
  <si>
    <t>2050_小学体育2组</t>
  </si>
  <si>
    <t>2051_小学美术1组</t>
  </si>
  <si>
    <t>2052_小学美术2组</t>
  </si>
  <si>
    <t>2053_小学道德与法治1组</t>
  </si>
  <si>
    <t>2054_小学道德与法治2组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</si>
</sst>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3"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14" borderId="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18" fillId="16" borderId="4" applyNumberFormat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49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9"/>
  <sheetViews>
    <sheetView tabSelected="1" workbookViewId="0">
      <selection activeCell="E8" sqref="E8"/>
    </sheetView>
  </sheetViews>
  <sheetFormatPr defaultColWidth="9" defaultRowHeight="14.25"/>
  <cols>
    <col min="1" max="1" width="4.875" style="2" customWidth="1"/>
    <col min="2" max="2" width="21.5" style="2" customWidth="1"/>
    <col min="3" max="3" width="9.625" style="2" customWidth="1"/>
    <col min="4" max="4" width="13.875" style="2" customWidth="1"/>
    <col min="5" max="5" width="8.75" customWidth="1"/>
    <col min="6" max="6" width="10.25" customWidth="1"/>
    <col min="8" max="8" width="5" customWidth="1"/>
  </cols>
  <sheetData>
    <row r="1" ht="49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11" customHeight="1"/>
    <row r="3" ht="30" customHeight="1" spans="1:9">
      <c r="A3" s="4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5" t="s">
        <v>6</v>
      </c>
      <c r="G3" s="4" t="s">
        <v>7</v>
      </c>
      <c r="H3" s="4" t="s">
        <v>8</v>
      </c>
      <c r="I3" s="4" t="s">
        <v>9</v>
      </c>
    </row>
    <row r="4" s="1" customFormat="1" ht="14" customHeight="1" spans="1:9">
      <c r="A4" s="6">
        <v>1</v>
      </c>
      <c r="B4" s="6" t="s">
        <v>10</v>
      </c>
      <c r="C4" s="6" t="str">
        <f>"曹琳"</f>
        <v>曹琳</v>
      </c>
      <c r="D4" s="6" t="str">
        <f>"20200207930"</f>
        <v>20200207930</v>
      </c>
      <c r="E4" s="7">
        <v>99.45</v>
      </c>
      <c r="F4" s="7">
        <v>106.71</v>
      </c>
      <c r="G4" s="7">
        <v>103.81</v>
      </c>
      <c r="H4" s="7"/>
      <c r="I4" s="7">
        <v>103.81</v>
      </c>
    </row>
    <row r="5" s="1" customFormat="1" ht="14" customHeight="1" spans="1:9">
      <c r="A5" s="6">
        <v>2</v>
      </c>
      <c r="B5" s="6" t="s">
        <v>10</v>
      </c>
      <c r="C5" s="6" t="str">
        <f>"代朝文"</f>
        <v>代朝文</v>
      </c>
      <c r="D5" s="6" t="str">
        <f>"20200208027"</f>
        <v>20200208027</v>
      </c>
      <c r="E5" s="7">
        <v>97.65</v>
      </c>
      <c r="F5" s="7">
        <v>106.54</v>
      </c>
      <c r="G5" s="7">
        <v>102.98</v>
      </c>
      <c r="H5" s="7"/>
      <c r="I5" s="7">
        <v>102.98</v>
      </c>
    </row>
    <row r="6" s="1" customFormat="1" ht="14" customHeight="1" spans="1:9">
      <c r="A6" s="6">
        <v>3</v>
      </c>
      <c r="B6" s="6" t="s">
        <v>10</v>
      </c>
      <c r="C6" s="6" t="str">
        <f>"李蒙"</f>
        <v>李蒙</v>
      </c>
      <c r="D6" s="6" t="str">
        <f>"20200207917"</f>
        <v>20200207917</v>
      </c>
      <c r="E6" s="7">
        <v>89.5</v>
      </c>
      <c r="F6" s="7">
        <v>109.21</v>
      </c>
      <c r="G6" s="7">
        <v>101.33</v>
      </c>
      <c r="H6" s="7"/>
      <c r="I6" s="7">
        <v>101.33</v>
      </c>
    </row>
    <row r="7" s="1" customFormat="1" ht="14" customHeight="1" spans="1:9">
      <c r="A7" s="6">
        <v>4</v>
      </c>
      <c r="B7" s="6" t="s">
        <v>10</v>
      </c>
      <c r="C7" s="6" t="str">
        <f>"周瑞瑞"</f>
        <v>周瑞瑞</v>
      </c>
      <c r="D7" s="6" t="str">
        <f>"20200207907"</f>
        <v>20200207907</v>
      </c>
      <c r="E7" s="7">
        <v>96.05</v>
      </c>
      <c r="F7" s="7">
        <v>103.32</v>
      </c>
      <c r="G7" s="7">
        <v>100.41</v>
      </c>
      <c r="H7" s="7"/>
      <c r="I7" s="7">
        <v>100.41</v>
      </c>
    </row>
    <row r="8" s="1" customFormat="1" ht="14" customHeight="1" spans="1:9">
      <c r="A8" s="6">
        <v>5</v>
      </c>
      <c r="B8" s="6" t="s">
        <v>10</v>
      </c>
      <c r="C8" s="6" t="str">
        <f>"程奇奇"</f>
        <v>程奇奇</v>
      </c>
      <c r="D8" s="6" t="str">
        <f>"20200207924"</f>
        <v>20200207924</v>
      </c>
      <c r="E8" s="7">
        <v>91.85</v>
      </c>
      <c r="F8" s="7">
        <v>101.07</v>
      </c>
      <c r="G8" s="7">
        <v>97.38</v>
      </c>
      <c r="H8" s="7"/>
      <c r="I8" s="7">
        <v>97.38</v>
      </c>
    </row>
    <row r="9" s="1" customFormat="1" ht="14" customHeight="1" spans="1:9">
      <c r="A9" s="6">
        <v>6</v>
      </c>
      <c r="B9" s="6" t="s">
        <v>10</v>
      </c>
      <c r="C9" s="6" t="str">
        <f>"韩丽敏"</f>
        <v>韩丽敏</v>
      </c>
      <c r="D9" s="6" t="str">
        <f>"20200208028"</f>
        <v>20200208028</v>
      </c>
      <c r="E9" s="7">
        <v>85.5</v>
      </c>
      <c r="F9" s="7">
        <v>104.74</v>
      </c>
      <c r="G9" s="7">
        <v>97.04</v>
      </c>
      <c r="H9" s="7"/>
      <c r="I9" s="7">
        <v>97.04</v>
      </c>
    </row>
    <row r="10" s="1" customFormat="1" ht="14" customHeight="1" spans="1:9">
      <c r="A10" s="6">
        <v>7</v>
      </c>
      <c r="B10" s="6" t="s">
        <v>11</v>
      </c>
      <c r="C10" s="6" t="str">
        <f>"何本苗"</f>
        <v>何本苗</v>
      </c>
      <c r="D10" s="6" t="str">
        <f>"20200208018"</f>
        <v>20200208018</v>
      </c>
      <c r="E10" s="7">
        <v>94.4</v>
      </c>
      <c r="F10" s="7">
        <v>101.15</v>
      </c>
      <c r="G10" s="7">
        <v>98.45</v>
      </c>
      <c r="H10" s="7"/>
      <c r="I10" s="7">
        <v>98.45</v>
      </c>
    </row>
    <row r="11" s="1" customFormat="1" ht="14" customHeight="1" spans="1:9">
      <c r="A11" s="6">
        <v>8</v>
      </c>
      <c r="B11" s="6" t="s">
        <v>11</v>
      </c>
      <c r="C11" s="6" t="str">
        <f>"叶淑欣"</f>
        <v>叶淑欣</v>
      </c>
      <c r="D11" s="6" t="str">
        <f>"20200207929"</f>
        <v>20200207929</v>
      </c>
      <c r="E11" s="7">
        <v>83.85</v>
      </c>
      <c r="F11" s="7">
        <v>106.46</v>
      </c>
      <c r="G11" s="7">
        <v>97.42</v>
      </c>
      <c r="H11" s="7"/>
      <c r="I11" s="7">
        <v>97.42</v>
      </c>
    </row>
    <row r="12" s="1" customFormat="1" ht="14" customHeight="1" spans="1:9">
      <c r="A12" s="6">
        <v>9</v>
      </c>
      <c r="B12" s="6" t="s">
        <v>11</v>
      </c>
      <c r="C12" s="6" t="str">
        <f>"关冰艳"</f>
        <v>关冰艳</v>
      </c>
      <c r="D12" s="6" t="str">
        <f>"20200207905"</f>
        <v>20200207905</v>
      </c>
      <c r="E12" s="7">
        <v>85.85</v>
      </c>
      <c r="F12" s="7">
        <v>104.59</v>
      </c>
      <c r="G12" s="7">
        <v>97.09</v>
      </c>
      <c r="H12" s="7"/>
      <c r="I12" s="7">
        <v>97.09</v>
      </c>
    </row>
    <row r="13" s="1" customFormat="1" ht="14" customHeight="1" spans="1:9">
      <c r="A13" s="6">
        <v>10</v>
      </c>
      <c r="B13" s="6" t="s">
        <v>11</v>
      </c>
      <c r="C13" s="6" t="str">
        <f>"李雪娇"</f>
        <v>李雪娇</v>
      </c>
      <c r="D13" s="6" t="str">
        <f>"20200207926"</f>
        <v>20200207926</v>
      </c>
      <c r="E13" s="7">
        <v>86.8</v>
      </c>
      <c r="F13" s="7">
        <v>103.47</v>
      </c>
      <c r="G13" s="7">
        <v>96.8</v>
      </c>
      <c r="H13" s="7"/>
      <c r="I13" s="7">
        <v>96.8</v>
      </c>
    </row>
    <row r="14" s="1" customFormat="1" ht="14" customHeight="1" spans="1:9">
      <c r="A14" s="6">
        <v>11</v>
      </c>
      <c r="B14" s="6" t="s">
        <v>11</v>
      </c>
      <c r="C14" s="6" t="str">
        <f>"何珊"</f>
        <v>何珊</v>
      </c>
      <c r="D14" s="6" t="str">
        <f>"20200208014"</f>
        <v>20200208014</v>
      </c>
      <c r="E14" s="7">
        <v>84.75</v>
      </c>
      <c r="F14" s="7">
        <v>103.69</v>
      </c>
      <c r="G14" s="7">
        <v>96.11</v>
      </c>
      <c r="H14" s="7"/>
      <c r="I14" s="7">
        <v>96.11</v>
      </c>
    </row>
    <row r="15" s="1" customFormat="1" ht="14" customHeight="1" spans="1:9">
      <c r="A15" s="6">
        <v>12</v>
      </c>
      <c r="B15" s="6" t="s">
        <v>11</v>
      </c>
      <c r="C15" s="6" t="str">
        <f>"侯跃"</f>
        <v>侯跃</v>
      </c>
      <c r="D15" s="6" t="str">
        <f>"20200208009"</f>
        <v>20200208009</v>
      </c>
      <c r="E15" s="7">
        <v>90.45</v>
      </c>
      <c r="F15" s="7">
        <v>98.32</v>
      </c>
      <c r="G15" s="7">
        <v>95.17</v>
      </c>
      <c r="H15" s="7"/>
      <c r="I15" s="7">
        <v>95.17</v>
      </c>
    </row>
    <row r="16" s="1" customFormat="1" ht="14" customHeight="1" spans="1:9">
      <c r="A16" s="6">
        <v>13</v>
      </c>
      <c r="B16" s="6" t="s">
        <v>12</v>
      </c>
      <c r="C16" s="6" t="str">
        <f>"杨士亮"</f>
        <v>杨士亮</v>
      </c>
      <c r="D16" s="6" t="str">
        <f>"20200208706"</f>
        <v>20200208706</v>
      </c>
      <c r="E16" s="7">
        <v>93.45</v>
      </c>
      <c r="F16" s="7">
        <v>93.36</v>
      </c>
      <c r="G16" s="7">
        <v>93.4</v>
      </c>
      <c r="H16" s="7"/>
      <c r="I16" s="7">
        <v>93.4</v>
      </c>
    </row>
    <row r="17" s="1" customFormat="1" ht="14" customHeight="1" spans="1:9">
      <c r="A17" s="6">
        <v>14</v>
      </c>
      <c r="B17" s="6" t="s">
        <v>12</v>
      </c>
      <c r="C17" s="6" t="str">
        <f>"陈发展"</f>
        <v>陈发展</v>
      </c>
      <c r="D17" s="6" t="str">
        <f>"20200208714"</f>
        <v>20200208714</v>
      </c>
      <c r="E17" s="7">
        <v>73.8</v>
      </c>
      <c r="F17" s="7">
        <v>98.32</v>
      </c>
      <c r="G17" s="7">
        <v>88.51</v>
      </c>
      <c r="H17" s="7"/>
      <c r="I17" s="7">
        <v>88.51</v>
      </c>
    </row>
    <row r="18" s="1" customFormat="1" ht="14" customHeight="1" spans="1:9">
      <c r="A18" s="6">
        <v>15</v>
      </c>
      <c r="B18" s="6" t="s">
        <v>12</v>
      </c>
      <c r="C18" s="6" t="str">
        <f>"刘艳"</f>
        <v>刘艳</v>
      </c>
      <c r="D18" s="6" t="str">
        <f>"20200208721"</f>
        <v>20200208721</v>
      </c>
      <c r="E18" s="7">
        <v>85.6</v>
      </c>
      <c r="F18" s="7">
        <v>88.46</v>
      </c>
      <c r="G18" s="7">
        <v>87.32</v>
      </c>
      <c r="H18" s="7"/>
      <c r="I18" s="7">
        <v>87.32</v>
      </c>
    </row>
    <row r="19" s="1" customFormat="1" ht="14" customHeight="1" spans="1:9">
      <c r="A19" s="6">
        <v>16</v>
      </c>
      <c r="B19" s="6" t="s">
        <v>12</v>
      </c>
      <c r="C19" s="6" t="str">
        <f>"桂子旋"</f>
        <v>桂子旋</v>
      </c>
      <c r="D19" s="6" t="str">
        <f>"20200208819"</f>
        <v>20200208819</v>
      </c>
      <c r="E19" s="7">
        <v>84.6</v>
      </c>
      <c r="F19" s="7">
        <v>86.82</v>
      </c>
      <c r="G19" s="7">
        <v>85.93</v>
      </c>
      <c r="H19" s="7"/>
      <c r="I19" s="7">
        <v>85.93</v>
      </c>
    </row>
    <row r="20" s="1" customFormat="1" ht="14" customHeight="1" spans="1:9">
      <c r="A20" s="6">
        <v>17</v>
      </c>
      <c r="B20" s="6" t="s">
        <v>12</v>
      </c>
      <c r="C20" s="6" t="str">
        <f>"赵亚楠"</f>
        <v>赵亚楠</v>
      </c>
      <c r="D20" s="6" t="str">
        <f>"20200208712"</f>
        <v>20200208712</v>
      </c>
      <c r="E20" s="7">
        <v>80.1</v>
      </c>
      <c r="F20" s="7">
        <v>88.94</v>
      </c>
      <c r="G20" s="7">
        <v>85.4</v>
      </c>
      <c r="H20" s="7"/>
      <c r="I20" s="7">
        <v>85.4</v>
      </c>
    </row>
    <row r="21" s="1" customFormat="1" ht="14" customHeight="1" spans="1:9">
      <c r="A21" s="6">
        <v>18</v>
      </c>
      <c r="B21" s="6" t="s">
        <v>12</v>
      </c>
      <c r="C21" s="6" t="str">
        <f>"孙杰"</f>
        <v>孙杰</v>
      </c>
      <c r="D21" s="6" t="str">
        <f>"20200208718"</f>
        <v>20200208718</v>
      </c>
      <c r="E21" s="7">
        <v>100.35</v>
      </c>
      <c r="F21" s="7">
        <v>74.51</v>
      </c>
      <c r="G21" s="7">
        <v>84.85</v>
      </c>
      <c r="H21" s="7"/>
      <c r="I21" s="7">
        <v>84.85</v>
      </c>
    </row>
    <row r="22" s="1" customFormat="1" ht="14" customHeight="1" spans="1:9">
      <c r="A22" s="6">
        <v>19</v>
      </c>
      <c r="B22" s="6" t="s">
        <v>13</v>
      </c>
      <c r="C22" s="6" t="str">
        <f>"李奔"</f>
        <v>李奔</v>
      </c>
      <c r="D22" s="6" t="str">
        <f>"20200208725"</f>
        <v>20200208725</v>
      </c>
      <c r="E22" s="7">
        <v>96.1</v>
      </c>
      <c r="F22" s="7">
        <v>97.94</v>
      </c>
      <c r="G22" s="7">
        <v>97.2</v>
      </c>
      <c r="H22" s="7"/>
      <c r="I22" s="7">
        <v>97.2</v>
      </c>
    </row>
    <row r="23" s="1" customFormat="1" ht="14" customHeight="1" spans="1:9">
      <c r="A23" s="6">
        <v>20</v>
      </c>
      <c r="B23" s="6" t="s">
        <v>13</v>
      </c>
      <c r="C23" s="6" t="str">
        <f>"常林宾"</f>
        <v>常林宾</v>
      </c>
      <c r="D23" s="6" t="str">
        <f>"20200208717"</f>
        <v>20200208717</v>
      </c>
      <c r="E23" s="7">
        <v>92.15</v>
      </c>
      <c r="F23" s="7">
        <v>91.56</v>
      </c>
      <c r="G23" s="7">
        <v>91.8</v>
      </c>
      <c r="H23" s="7"/>
      <c r="I23" s="7">
        <v>91.8</v>
      </c>
    </row>
    <row r="24" s="1" customFormat="1" ht="14" customHeight="1" spans="1:9">
      <c r="A24" s="6">
        <v>21</v>
      </c>
      <c r="B24" s="6" t="s">
        <v>13</v>
      </c>
      <c r="C24" s="6" t="str">
        <f>"卞晴晴"</f>
        <v>卞晴晴</v>
      </c>
      <c r="D24" s="6" t="str">
        <f>"20200208729"</f>
        <v>20200208729</v>
      </c>
      <c r="E24" s="7">
        <v>91.95</v>
      </c>
      <c r="F24" s="7">
        <v>88.17</v>
      </c>
      <c r="G24" s="7">
        <v>89.68</v>
      </c>
      <c r="H24" s="7"/>
      <c r="I24" s="7">
        <v>89.68</v>
      </c>
    </row>
    <row r="25" s="1" customFormat="1" ht="14" customHeight="1" spans="1:9">
      <c r="A25" s="6">
        <v>22</v>
      </c>
      <c r="B25" s="6" t="s">
        <v>13</v>
      </c>
      <c r="C25" s="6" t="str">
        <f>"赵阳"</f>
        <v>赵阳</v>
      </c>
      <c r="D25" s="6" t="str">
        <f>"20200212327"</f>
        <v>20200212327</v>
      </c>
      <c r="E25" s="7">
        <v>84.4</v>
      </c>
      <c r="F25" s="7">
        <v>91.23</v>
      </c>
      <c r="G25" s="7">
        <v>88.5</v>
      </c>
      <c r="H25" s="7"/>
      <c r="I25" s="7">
        <v>88.5</v>
      </c>
    </row>
    <row r="26" s="1" customFormat="1" ht="14" customHeight="1" spans="1:9">
      <c r="A26" s="6">
        <v>23</v>
      </c>
      <c r="B26" s="6" t="s">
        <v>13</v>
      </c>
      <c r="C26" s="6" t="str">
        <f>"尚辉辉"</f>
        <v>尚辉辉</v>
      </c>
      <c r="D26" s="6" t="str">
        <f>"20200212328"</f>
        <v>20200212328</v>
      </c>
      <c r="E26" s="7">
        <v>81.8</v>
      </c>
      <c r="F26" s="7">
        <v>92.37</v>
      </c>
      <c r="G26" s="7">
        <v>88.14</v>
      </c>
      <c r="H26" s="7"/>
      <c r="I26" s="7">
        <v>88.14</v>
      </c>
    </row>
    <row r="27" s="1" customFormat="1" ht="14" customHeight="1" spans="1:9">
      <c r="A27" s="6">
        <v>24</v>
      </c>
      <c r="B27" s="6" t="s">
        <v>13</v>
      </c>
      <c r="C27" s="6" t="str">
        <f>"庄春昊"</f>
        <v>庄春昊</v>
      </c>
      <c r="D27" s="6" t="str">
        <f>"20200208705"</f>
        <v>20200208705</v>
      </c>
      <c r="E27" s="7">
        <v>79.55</v>
      </c>
      <c r="F27" s="7">
        <v>93.05</v>
      </c>
      <c r="G27" s="7">
        <v>87.65</v>
      </c>
      <c r="H27" s="7"/>
      <c r="I27" s="7">
        <v>87.65</v>
      </c>
    </row>
    <row r="28" s="1" customFormat="1" ht="14" customHeight="1" spans="1:9">
      <c r="A28" s="6">
        <v>25</v>
      </c>
      <c r="B28" s="6" t="s">
        <v>14</v>
      </c>
      <c r="C28" s="6" t="str">
        <f>"孙梦梦"</f>
        <v>孙梦梦</v>
      </c>
      <c r="D28" s="6" t="str">
        <f>"20200208317"</f>
        <v>20200208317</v>
      </c>
      <c r="E28" s="7">
        <v>95.5</v>
      </c>
      <c r="F28" s="7">
        <v>99.26</v>
      </c>
      <c r="G28" s="7">
        <v>97.76</v>
      </c>
      <c r="H28" s="7"/>
      <c r="I28" s="7">
        <v>97.76</v>
      </c>
    </row>
    <row r="29" s="1" customFormat="1" ht="14" customHeight="1" spans="1:9">
      <c r="A29" s="6">
        <v>26</v>
      </c>
      <c r="B29" s="6" t="s">
        <v>14</v>
      </c>
      <c r="C29" s="6" t="str">
        <f>"吴静静"</f>
        <v>吴静静</v>
      </c>
      <c r="D29" s="6" t="str">
        <f>"20200208302"</f>
        <v>20200208302</v>
      </c>
      <c r="E29" s="7">
        <v>95.45</v>
      </c>
      <c r="F29" s="7">
        <v>94.1</v>
      </c>
      <c r="G29" s="7">
        <v>94.64</v>
      </c>
      <c r="H29" s="7"/>
      <c r="I29" s="7">
        <v>94.64</v>
      </c>
    </row>
    <row r="30" s="1" customFormat="1" ht="14" customHeight="1" spans="1:9">
      <c r="A30" s="6">
        <v>27</v>
      </c>
      <c r="B30" s="6" t="s">
        <v>14</v>
      </c>
      <c r="C30" s="6" t="str">
        <f>"张娜"</f>
        <v>张娜</v>
      </c>
      <c r="D30" s="6" t="str">
        <f>"20200208217"</f>
        <v>20200208217</v>
      </c>
      <c r="E30" s="7">
        <v>87.95</v>
      </c>
      <c r="F30" s="7">
        <v>95.84</v>
      </c>
      <c r="G30" s="7">
        <v>92.68</v>
      </c>
      <c r="H30" s="7"/>
      <c r="I30" s="7">
        <v>92.68</v>
      </c>
    </row>
    <row r="31" s="1" customFormat="1" ht="14" customHeight="1" spans="1:9">
      <c r="A31" s="6">
        <v>28</v>
      </c>
      <c r="B31" s="6" t="s">
        <v>14</v>
      </c>
      <c r="C31" s="6" t="str">
        <f>"张惠茹"</f>
        <v>张惠茹</v>
      </c>
      <c r="D31" s="6" t="str">
        <f>"20200208311"</f>
        <v>20200208311</v>
      </c>
      <c r="E31" s="7">
        <v>94.8</v>
      </c>
      <c r="F31" s="7">
        <v>90.96</v>
      </c>
      <c r="G31" s="7">
        <v>92.5</v>
      </c>
      <c r="H31" s="7"/>
      <c r="I31" s="7">
        <v>92.5</v>
      </c>
    </row>
    <row r="32" s="1" customFormat="1" ht="14" customHeight="1" spans="1:9">
      <c r="A32" s="6">
        <v>29</v>
      </c>
      <c r="B32" s="6" t="s">
        <v>14</v>
      </c>
      <c r="C32" s="6" t="str">
        <f>"王雪"</f>
        <v>王雪</v>
      </c>
      <c r="D32" s="6" t="str">
        <f>"20200208212"</f>
        <v>20200208212</v>
      </c>
      <c r="E32" s="7">
        <v>88.35</v>
      </c>
      <c r="F32" s="7">
        <v>93.9</v>
      </c>
      <c r="G32" s="7">
        <v>91.68</v>
      </c>
      <c r="H32" s="7"/>
      <c r="I32" s="7">
        <v>91.68</v>
      </c>
    </row>
    <row r="33" s="1" customFormat="1" ht="14" customHeight="1" spans="1:9">
      <c r="A33" s="6">
        <v>30</v>
      </c>
      <c r="B33" s="6" t="s">
        <v>14</v>
      </c>
      <c r="C33" s="6" t="str">
        <f>"张真真"</f>
        <v>张真真</v>
      </c>
      <c r="D33" s="6" t="str">
        <f>"20200208227"</f>
        <v>20200208227</v>
      </c>
      <c r="E33" s="7">
        <v>92.45</v>
      </c>
      <c r="F33" s="7">
        <v>90.7</v>
      </c>
      <c r="G33" s="7">
        <v>91.4</v>
      </c>
      <c r="H33" s="7"/>
      <c r="I33" s="7">
        <v>91.4</v>
      </c>
    </row>
    <row r="34" s="1" customFormat="1" ht="14" customHeight="1" spans="1:9">
      <c r="A34" s="6">
        <v>31</v>
      </c>
      <c r="B34" s="6" t="s">
        <v>15</v>
      </c>
      <c r="C34" s="6" t="str">
        <f>"杨桥"</f>
        <v>杨桥</v>
      </c>
      <c r="D34" s="6" t="str">
        <f>"20200208102"</f>
        <v>20200208102</v>
      </c>
      <c r="E34" s="7">
        <v>98.55</v>
      </c>
      <c r="F34" s="7">
        <v>96.24</v>
      </c>
      <c r="G34" s="7">
        <v>97.16</v>
      </c>
      <c r="H34" s="7"/>
      <c r="I34" s="7">
        <v>97.16</v>
      </c>
    </row>
    <row r="35" s="1" customFormat="1" ht="14" customHeight="1" spans="1:9">
      <c r="A35" s="6">
        <v>32</v>
      </c>
      <c r="B35" s="6" t="s">
        <v>15</v>
      </c>
      <c r="C35" s="6" t="str">
        <f>"王悦"</f>
        <v>王悦</v>
      </c>
      <c r="D35" s="6" t="str">
        <f>"20200208901"</f>
        <v>20200208901</v>
      </c>
      <c r="E35" s="7">
        <v>92.4</v>
      </c>
      <c r="F35" s="7">
        <v>97</v>
      </c>
      <c r="G35" s="7">
        <v>95.16</v>
      </c>
      <c r="H35" s="7"/>
      <c r="I35" s="7">
        <v>95.16</v>
      </c>
    </row>
    <row r="36" s="1" customFormat="1" ht="14" customHeight="1" spans="1:9">
      <c r="A36" s="6">
        <v>33</v>
      </c>
      <c r="B36" s="6" t="s">
        <v>15</v>
      </c>
      <c r="C36" s="6" t="str">
        <f>"沈悦"</f>
        <v>沈悦</v>
      </c>
      <c r="D36" s="6" t="str">
        <f>"20200208902"</f>
        <v>20200208902</v>
      </c>
      <c r="E36" s="7">
        <v>94.6</v>
      </c>
      <c r="F36" s="7">
        <v>90.2</v>
      </c>
      <c r="G36" s="7">
        <v>91.96</v>
      </c>
      <c r="H36" s="7"/>
      <c r="I36" s="7">
        <v>91.96</v>
      </c>
    </row>
    <row r="37" s="1" customFormat="1" ht="14" customHeight="1" spans="1:9">
      <c r="A37" s="6">
        <v>34</v>
      </c>
      <c r="B37" s="6" t="s">
        <v>15</v>
      </c>
      <c r="C37" s="6" t="str">
        <f>"钱春雨"</f>
        <v>钱春雨</v>
      </c>
      <c r="D37" s="6" t="str">
        <f>"20200208127"</f>
        <v>20200208127</v>
      </c>
      <c r="E37" s="7">
        <v>92.6</v>
      </c>
      <c r="F37" s="7">
        <v>91.5</v>
      </c>
      <c r="G37" s="7">
        <v>91.94</v>
      </c>
      <c r="H37" s="7"/>
      <c r="I37" s="7">
        <v>91.94</v>
      </c>
    </row>
    <row r="38" s="1" customFormat="1" ht="14" customHeight="1" spans="1:9">
      <c r="A38" s="6">
        <v>35</v>
      </c>
      <c r="B38" s="6" t="s">
        <v>16</v>
      </c>
      <c r="C38" s="6" t="str">
        <f>"张贺涛"</f>
        <v>张贺涛</v>
      </c>
      <c r="D38" s="6" t="str">
        <f>"20200211930"</f>
        <v>20200211930</v>
      </c>
      <c r="E38" s="7">
        <v>92.25</v>
      </c>
      <c r="F38" s="7">
        <v>83.35</v>
      </c>
      <c r="G38" s="7">
        <v>86.91</v>
      </c>
      <c r="H38" s="7"/>
      <c r="I38" s="7">
        <v>86.91</v>
      </c>
    </row>
    <row r="39" s="1" customFormat="1" ht="14" customHeight="1" spans="1:9">
      <c r="A39" s="6">
        <v>36</v>
      </c>
      <c r="B39" s="6" t="s">
        <v>16</v>
      </c>
      <c r="C39" s="6" t="str">
        <f>"卢荡荡"</f>
        <v>卢荡荡</v>
      </c>
      <c r="D39" s="6" t="str">
        <f>"20200212228"</f>
        <v>20200212228</v>
      </c>
      <c r="E39" s="7">
        <v>80.65</v>
      </c>
      <c r="F39" s="7">
        <v>71.83</v>
      </c>
      <c r="G39" s="7">
        <v>75.36</v>
      </c>
      <c r="H39" s="7"/>
      <c r="I39" s="7">
        <v>75.36</v>
      </c>
    </row>
    <row r="40" s="1" customFormat="1" ht="14" customHeight="1" spans="1:9">
      <c r="A40" s="6">
        <v>37</v>
      </c>
      <c r="B40" s="6" t="s">
        <v>17</v>
      </c>
      <c r="C40" s="6" t="str">
        <f>"苗华伟"</f>
        <v>苗华伟</v>
      </c>
      <c r="D40" s="6" t="str">
        <f>"20200211925"</f>
        <v>20200211925</v>
      </c>
      <c r="E40" s="7">
        <v>87.05</v>
      </c>
      <c r="F40" s="7">
        <v>85.55</v>
      </c>
      <c r="G40" s="7">
        <v>86.15</v>
      </c>
      <c r="H40" s="7"/>
      <c r="I40" s="7">
        <v>86.15</v>
      </c>
    </row>
    <row r="41" s="1" customFormat="1" ht="14" customHeight="1" spans="1:9">
      <c r="A41" s="6">
        <v>38</v>
      </c>
      <c r="B41" s="6" t="s">
        <v>17</v>
      </c>
      <c r="C41" s="6" t="str">
        <f>"陈国萌"</f>
        <v>陈国萌</v>
      </c>
      <c r="D41" s="6" t="str">
        <f>"20200211929"</f>
        <v>20200211929</v>
      </c>
      <c r="E41" s="7">
        <v>85.7</v>
      </c>
      <c r="F41" s="7">
        <v>78.52</v>
      </c>
      <c r="G41" s="7">
        <v>81.39</v>
      </c>
      <c r="H41" s="7"/>
      <c r="I41" s="7">
        <v>81.39</v>
      </c>
    </row>
    <row r="42" s="1" customFormat="1" ht="14" customHeight="1" spans="1:9">
      <c r="A42" s="6">
        <v>39</v>
      </c>
      <c r="B42" s="6" t="s">
        <v>17</v>
      </c>
      <c r="C42" s="6" t="str">
        <f>"林雪朋"</f>
        <v>林雪朋</v>
      </c>
      <c r="D42" s="6" t="str">
        <f>"20200211924"</f>
        <v>20200211924</v>
      </c>
      <c r="E42" s="7">
        <v>81.45</v>
      </c>
      <c r="F42" s="7">
        <v>80.07</v>
      </c>
      <c r="G42" s="7">
        <v>80.62</v>
      </c>
      <c r="H42" s="7"/>
      <c r="I42" s="7">
        <v>80.62</v>
      </c>
    </row>
    <row r="43" s="1" customFormat="1" ht="14" customHeight="1" spans="1:9">
      <c r="A43" s="6">
        <v>40</v>
      </c>
      <c r="B43" s="6" t="s">
        <v>17</v>
      </c>
      <c r="C43" s="6" t="str">
        <f>"薛席"</f>
        <v>薛席</v>
      </c>
      <c r="D43" s="6" t="str">
        <f>"20200211928"</f>
        <v>20200211928</v>
      </c>
      <c r="E43" s="7">
        <v>87.45</v>
      </c>
      <c r="F43" s="7">
        <v>70.36</v>
      </c>
      <c r="G43" s="7">
        <v>77.2</v>
      </c>
      <c r="H43" s="7"/>
      <c r="I43" s="7">
        <v>77.2</v>
      </c>
    </row>
    <row r="44" s="1" customFormat="1" ht="14" customHeight="1" spans="1:9">
      <c r="A44" s="6">
        <v>41</v>
      </c>
      <c r="B44" s="6" t="s">
        <v>18</v>
      </c>
      <c r="C44" s="6" t="str">
        <f>"王光辉"</f>
        <v>王光辉</v>
      </c>
      <c r="D44" s="6" t="str">
        <f>"20200208423"</f>
        <v>20200208423</v>
      </c>
      <c r="E44" s="7">
        <v>85.1</v>
      </c>
      <c r="F44" s="7">
        <v>97.73</v>
      </c>
      <c r="G44" s="7">
        <v>92.68</v>
      </c>
      <c r="H44" s="7"/>
      <c r="I44" s="7">
        <v>92.68</v>
      </c>
    </row>
    <row r="45" s="1" customFormat="1" ht="14" customHeight="1" spans="1:9">
      <c r="A45" s="6">
        <v>42</v>
      </c>
      <c r="B45" s="6" t="s">
        <v>18</v>
      </c>
      <c r="C45" s="6" t="str">
        <f>"张颖"</f>
        <v>张颖</v>
      </c>
      <c r="D45" s="6" t="str">
        <f>"20200208410"</f>
        <v>20200208410</v>
      </c>
      <c r="E45" s="7">
        <v>86.3</v>
      </c>
      <c r="F45" s="7">
        <v>87.65</v>
      </c>
      <c r="G45" s="7">
        <v>87.11</v>
      </c>
      <c r="H45" s="7"/>
      <c r="I45" s="7">
        <v>87.11</v>
      </c>
    </row>
    <row r="46" s="1" customFormat="1" ht="14" customHeight="1" spans="1:9">
      <c r="A46" s="6">
        <v>43</v>
      </c>
      <c r="B46" s="6" t="s">
        <v>19</v>
      </c>
      <c r="C46" s="6" t="str">
        <f>"薛宏亮"</f>
        <v>薛宏亮</v>
      </c>
      <c r="D46" s="6" t="str">
        <f>"20200208603"</f>
        <v>20200208603</v>
      </c>
      <c r="E46" s="7">
        <v>87.6</v>
      </c>
      <c r="F46" s="7">
        <v>109.5</v>
      </c>
      <c r="G46" s="7">
        <v>100.74</v>
      </c>
      <c r="H46" s="7"/>
      <c r="I46" s="7">
        <v>100.74</v>
      </c>
    </row>
    <row r="47" s="1" customFormat="1" ht="14" customHeight="1" spans="1:9">
      <c r="A47" s="6">
        <v>44</v>
      </c>
      <c r="B47" s="6" t="s">
        <v>19</v>
      </c>
      <c r="C47" s="6" t="str">
        <f>"刁洪玲"</f>
        <v>刁洪玲</v>
      </c>
      <c r="D47" s="6" t="str">
        <f>"20200208517"</f>
        <v>20200208517</v>
      </c>
      <c r="E47" s="7">
        <v>90.65</v>
      </c>
      <c r="F47" s="7">
        <v>106.27</v>
      </c>
      <c r="G47" s="7">
        <v>100.02</v>
      </c>
      <c r="H47" s="7"/>
      <c r="I47" s="7">
        <v>100.02</v>
      </c>
    </row>
    <row r="48" s="1" customFormat="1" ht="14" customHeight="1" spans="1:9">
      <c r="A48" s="6">
        <v>45</v>
      </c>
      <c r="B48" s="6" t="s">
        <v>19</v>
      </c>
      <c r="C48" s="6" t="str">
        <f>"金萍"</f>
        <v>金萍</v>
      </c>
      <c r="D48" s="6" t="str">
        <f>"20200208414"</f>
        <v>20200208414</v>
      </c>
      <c r="E48" s="7">
        <v>93.15</v>
      </c>
      <c r="F48" s="7">
        <v>101.59</v>
      </c>
      <c r="G48" s="7">
        <v>98.21</v>
      </c>
      <c r="H48" s="7"/>
      <c r="I48" s="7">
        <v>98.21</v>
      </c>
    </row>
    <row r="49" s="1" customFormat="1" ht="14" customHeight="1" spans="1:9">
      <c r="A49" s="6">
        <v>46</v>
      </c>
      <c r="B49" s="6" t="s">
        <v>19</v>
      </c>
      <c r="C49" s="6" t="str">
        <f>"李普"</f>
        <v>李普</v>
      </c>
      <c r="D49" s="6" t="str">
        <f>"20200208505"</f>
        <v>20200208505</v>
      </c>
      <c r="E49" s="7">
        <v>97.65</v>
      </c>
      <c r="F49" s="7">
        <v>97.38</v>
      </c>
      <c r="G49" s="7">
        <v>97.49</v>
      </c>
      <c r="H49" s="7"/>
      <c r="I49" s="7">
        <v>97.49</v>
      </c>
    </row>
    <row r="50" s="1" customFormat="1" ht="14" customHeight="1" spans="1:9">
      <c r="A50" s="6">
        <v>47</v>
      </c>
      <c r="B50" s="6" t="s">
        <v>20</v>
      </c>
      <c r="C50" s="6" t="str">
        <f>"李雨"</f>
        <v>李雨</v>
      </c>
      <c r="D50" s="6" t="str">
        <f>"20200209125"</f>
        <v>20200209125</v>
      </c>
      <c r="E50" s="7">
        <v>99.65</v>
      </c>
      <c r="F50" s="7">
        <v>89.09</v>
      </c>
      <c r="G50" s="7">
        <v>93.31</v>
      </c>
      <c r="H50" s="7"/>
      <c r="I50" s="7">
        <v>93.31</v>
      </c>
    </row>
    <row r="51" s="1" customFormat="1" ht="14" customHeight="1" spans="1:9">
      <c r="A51" s="6">
        <v>48</v>
      </c>
      <c r="B51" s="6" t="s">
        <v>20</v>
      </c>
      <c r="C51" s="6" t="str">
        <f>"崔静静"</f>
        <v>崔静静</v>
      </c>
      <c r="D51" s="6" t="str">
        <f>"20200209120"</f>
        <v>20200209120</v>
      </c>
      <c r="E51" s="7">
        <v>89.85</v>
      </c>
      <c r="F51" s="7">
        <v>90.16</v>
      </c>
      <c r="G51" s="7">
        <v>90.04</v>
      </c>
      <c r="H51" s="7"/>
      <c r="I51" s="7">
        <v>90.04</v>
      </c>
    </row>
    <row r="52" s="1" customFormat="1" ht="14" customHeight="1" spans="1:9">
      <c r="A52" s="6">
        <v>49</v>
      </c>
      <c r="B52" s="6" t="s">
        <v>21</v>
      </c>
      <c r="C52" s="6" t="str">
        <f>"张迪迪"</f>
        <v>张迪迪</v>
      </c>
      <c r="D52" s="6" t="str">
        <f>"20200209124"</f>
        <v>20200209124</v>
      </c>
      <c r="E52" s="7">
        <v>91.9</v>
      </c>
      <c r="F52" s="7">
        <v>99.72</v>
      </c>
      <c r="G52" s="7">
        <v>96.59</v>
      </c>
      <c r="H52" s="7"/>
      <c r="I52" s="7">
        <v>96.59</v>
      </c>
    </row>
    <row r="53" s="1" customFormat="1" ht="14" customHeight="1" spans="1:9">
      <c r="A53" s="6">
        <v>50</v>
      </c>
      <c r="B53" s="6" t="s">
        <v>21</v>
      </c>
      <c r="C53" s="6" t="str">
        <f>"葛成点"</f>
        <v>葛成点</v>
      </c>
      <c r="D53" s="6" t="str">
        <f>"20200209207"</f>
        <v>20200209207</v>
      </c>
      <c r="E53" s="7">
        <v>90.95</v>
      </c>
      <c r="F53" s="7">
        <v>97.01</v>
      </c>
      <c r="G53" s="7">
        <v>94.59</v>
      </c>
      <c r="H53" s="7"/>
      <c r="I53" s="7">
        <v>94.59</v>
      </c>
    </row>
    <row r="54" s="1" customFormat="1" ht="14" customHeight="1" spans="1:9">
      <c r="A54" s="6">
        <v>51</v>
      </c>
      <c r="B54" s="6" t="s">
        <v>21</v>
      </c>
      <c r="C54" s="6" t="str">
        <f>"刘慧"</f>
        <v>刘慧</v>
      </c>
      <c r="D54" s="6" t="str">
        <f>"20200209201"</f>
        <v>20200209201</v>
      </c>
      <c r="E54" s="7">
        <v>87.45</v>
      </c>
      <c r="F54" s="7">
        <v>98.69</v>
      </c>
      <c r="G54" s="7">
        <v>94.19</v>
      </c>
      <c r="H54" s="7"/>
      <c r="I54" s="7">
        <v>94.19</v>
      </c>
    </row>
    <row r="55" s="1" customFormat="1" ht="14" customHeight="1" spans="1:9">
      <c r="A55" s="6">
        <v>52</v>
      </c>
      <c r="B55" s="6" t="s">
        <v>21</v>
      </c>
      <c r="C55" s="6" t="str">
        <f>"王巧真"</f>
        <v>王巧真</v>
      </c>
      <c r="D55" s="6" t="str">
        <f>"20200209101"</f>
        <v>20200209101</v>
      </c>
      <c r="E55" s="7">
        <v>79.6</v>
      </c>
      <c r="F55" s="7">
        <v>97.49</v>
      </c>
      <c r="G55" s="7">
        <v>90.33</v>
      </c>
      <c r="H55" s="7"/>
      <c r="I55" s="7">
        <v>90.33</v>
      </c>
    </row>
    <row r="56" s="1" customFormat="1" ht="14" customHeight="1" spans="1:9">
      <c r="A56" s="6">
        <v>53</v>
      </c>
      <c r="B56" s="6" t="s">
        <v>22</v>
      </c>
      <c r="C56" s="6" t="str">
        <f>"肖文"</f>
        <v>肖文</v>
      </c>
      <c r="D56" s="6" t="str">
        <f>"20200207723"</f>
        <v>20200207723</v>
      </c>
      <c r="E56" s="7">
        <v>75.85</v>
      </c>
      <c r="F56" s="7">
        <v>93.62</v>
      </c>
      <c r="G56" s="7">
        <v>86.51</v>
      </c>
      <c r="H56" s="7"/>
      <c r="I56" s="7">
        <v>86.51</v>
      </c>
    </row>
    <row r="57" s="1" customFormat="1" ht="14" customHeight="1" spans="1:9">
      <c r="A57" s="6">
        <v>54</v>
      </c>
      <c r="B57" s="6" t="s">
        <v>22</v>
      </c>
      <c r="C57" s="6" t="str">
        <f>"王龙"</f>
        <v>王龙</v>
      </c>
      <c r="D57" s="6" t="str">
        <f>"20200207720"</f>
        <v>20200207720</v>
      </c>
      <c r="E57" s="7">
        <v>82.4</v>
      </c>
      <c r="F57" s="7">
        <v>88.2</v>
      </c>
      <c r="G57" s="7">
        <v>85.88</v>
      </c>
      <c r="H57" s="7"/>
      <c r="I57" s="7">
        <v>85.88</v>
      </c>
    </row>
    <row r="58" s="1" customFormat="1" ht="14" customHeight="1" spans="1:9">
      <c r="A58" s="6">
        <v>55</v>
      </c>
      <c r="B58" s="6" t="s">
        <v>22</v>
      </c>
      <c r="C58" s="6" t="str">
        <f>"刘敏"</f>
        <v>刘敏</v>
      </c>
      <c r="D58" s="6" t="str">
        <f>"20200207728"</f>
        <v>20200207728</v>
      </c>
      <c r="E58" s="7">
        <v>81.45</v>
      </c>
      <c r="F58" s="7">
        <v>88.78</v>
      </c>
      <c r="G58" s="7">
        <v>85.85</v>
      </c>
      <c r="H58" s="7"/>
      <c r="I58" s="7">
        <v>85.85</v>
      </c>
    </row>
    <row r="59" s="1" customFormat="1" ht="14" customHeight="1" spans="1:9">
      <c r="A59" s="6">
        <v>56</v>
      </c>
      <c r="B59" s="6" t="s">
        <v>22</v>
      </c>
      <c r="C59" s="6" t="str">
        <f>"李娜"</f>
        <v>李娜</v>
      </c>
      <c r="D59" s="6" t="str">
        <f>"20200207722"</f>
        <v>20200207722</v>
      </c>
      <c r="E59" s="7">
        <v>80.5</v>
      </c>
      <c r="F59" s="7">
        <v>85.06</v>
      </c>
      <c r="G59" s="7">
        <v>83.24</v>
      </c>
      <c r="H59" s="7"/>
      <c r="I59" s="7">
        <v>83.24</v>
      </c>
    </row>
    <row r="60" s="1" customFormat="1" ht="14" customHeight="1" spans="1:9">
      <c r="A60" s="6">
        <v>57</v>
      </c>
      <c r="B60" s="6" t="s">
        <v>22</v>
      </c>
      <c r="C60" s="6" t="str">
        <f>"秦青"</f>
        <v>秦青</v>
      </c>
      <c r="D60" s="6" t="str">
        <f>"20200207721"</f>
        <v>20200207721</v>
      </c>
      <c r="E60" s="7">
        <v>82.1</v>
      </c>
      <c r="F60" s="7">
        <v>83.94</v>
      </c>
      <c r="G60" s="7">
        <v>83.2</v>
      </c>
      <c r="H60" s="7"/>
      <c r="I60" s="7">
        <v>83.2</v>
      </c>
    </row>
    <row r="61" s="1" customFormat="1" ht="14" customHeight="1" spans="1:9">
      <c r="A61" s="6">
        <v>58</v>
      </c>
      <c r="B61" s="6" t="s">
        <v>22</v>
      </c>
      <c r="C61" s="6" t="str">
        <f>"杨武"</f>
        <v>杨武</v>
      </c>
      <c r="D61" s="6" t="str">
        <f>"20200207719"</f>
        <v>20200207719</v>
      </c>
      <c r="E61" s="7">
        <v>83.2</v>
      </c>
      <c r="F61" s="7">
        <v>74.86</v>
      </c>
      <c r="G61" s="7">
        <v>78.2</v>
      </c>
      <c r="H61" s="7"/>
      <c r="I61" s="7">
        <v>78.2</v>
      </c>
    </row>
    <row r="62" s="1" customFormat="1" ht="14" customHeight="1" spans="1:9">
      <c r="A62" s="6">
        <v>59</v>
      </c>
      <c r="B62" s="6" t="s">
        <v>23</v>
      </c>
      <c r="C62" s="6" t="str">
        <f>"王敬"</f>
        <v>王敬</v>
      </c>
      <c r="D62" s="6" t="str">
        <f>"20200207727"</f>
        <v>20200207727</v>
      </c>
      <c r="E62" s="7">
        <v>87.95</v>
      </c>
      <c r="F62" s="7">
        <v>97.36</v>
      </c>
      <c r="G62" s="7">
        <v>93.6</v>
      </c>
      <c r="H62" s="7"/>
      <c r="I62" s="7">
        <v>93.6</v>
      </c>
    </row>
    <row r="63" s="1" customFormat="1" ht="14" customHeight="1" spans="1:9">
      <c r="A63" s="6">
        <v>60</v>
      </c>
      <c r="B63" s="6" t="s">
        <v>23</v>
      </c>
      <c r="C63" s="6" t="str">
        <f>"肖敏"</f>
        <v>肖敏</v>
      </c>
      <c r="D63" s="6" t="str">
        <f>"20200207726"</f>
        <v>20200207726</v>
      </c>
      <c r="E63" s="7">
        <v>93.8</v>
      </c>
      <c r="F63" s="7">
        <v>89.9</v>
      </c>
      <c r="G63" s="7">
        <v>91.46</v>
      </c>
      <c r="H63" s="7">
        <v>2</v>
      </c>
      <c r="I63" s="7">
        <v>93.46</v>
      </c>
    </row>
    <row r="64" s="1" customFormat="1" ht="14" customHeight="1" spans="1:9">
      <c r="A64" s="6">
        <v>61</v>
      </c>
      <c r="B64" s="6" t="s">
        <v>23</v>
      </c>
      <c r="C64" s="6" t="str">
        <f>"肖红梅"</f>
        <v>肖红梅</v>
      </c>
      <c r="D64" s="6" t="str">
        <f>"20200207729"</f>
        <v>20200207729</v>
      </c>
      <c r="E64" s="7">
        <v>94.45</v>
      </c>
      <c r="F64" s="7">
        <v>92.16</v>
      </c>
      <c r="G64" s="7">
        <v>93.08</v>
      </c>
      <c r="H64" s="7"/>
      <c r="I64" s="7">
        <v>93.08</v>
      </c>
    </row>
    <row r="65" s="1" customFormat="1" ht="14" customHeight="1" spans="1:9">
      <c r="A65" s="6">
        <v>62</v>
      </c>
      <c r="B65" s="6" t="s">
        <v>23</v>
      </c>
      <c r="C65" s="6" t="str">
        <f>"刘丹"</f>
        <v>刘丹</v>
      </c>
      <c r="D65" s="6" t="str">
        <f>"20200207730"</f>
        <v>20200207730</v>
      </c>
      <c r="E65" s="7">
        <v>81.15</v>
      </c>
      <c r="F65" s="7">
        <v>87.24</v>
      </c>
      <c r="G65" s="7">
        <v>84.8</v>
      </c>
      <c r="H65" s="7"/>
      <c r="I65" s="7">
        <v>84.8</v>
      </c>
    </row>
    <row r="66" s="1" customFormat="1" ht="14" customHeight="1" spans="1:9">
      <c r="A66" s="6">
        <v>63</v>
      </c>
      <c r="B66" s="6" t="s">
        <v>23</v>
      </c>
      <c r="C66" s="6" t="str">
        <f>"王康"</f>
        <v>王康</v>
      </c>
      <c r="D66" s="6" t="str">
        <f>"20200207724"</f>
        <v>20200207724</v>
      </c>
      <c r="E66" s="7">
        <v>83.4</v>
      </c>
      <c r="F66" s="7">
        <v>78.66</v>
      </c>
      <c r="G66" s="7">
        <v>80.56</v>
      </c>
      <c r="H66" s="7"/>
      <c r="I66" s="7">
        <v>80.56</v>
      </c>
    </row>
    <row r="67" s="1" customFormat="1" ht="14" customHeight="1" spans="1:9">
      <c r="A67" s="6">
        <v>64</v>
      </c>
      <c r="B67" s="6" t="s">
        <v>24</v>
      </c>
      <c r="C67" s="6" t="str">
        <f>"赵敏"</f>
        <v>赵敏</v>
      </c>
      <c r="D67" s="6" t="str">
        <f>"20200212221"</f>
        <v>20200212221</v>
      </c>
      <c r="E67" s="7">
        <v>88.9</v>
      </c>
      <c r="F67" s="7">
        <v>91.08</v>
      </c>
      <c r="G67" s="7">
        <v>90.21</v>
      </c>
      <c r="H67" s="7"/>
      <c r="I67" s="7">
        <v>90.21</v>
      </c>
    </row>
    <row r="68" s="1" customFormat="1" ht="14" customHeight="1" spans="1:9">
      <c r="A68" s="6">
        <v>65</v>
      </c>
      <c r="B68" s="6" t="s">
        <v>24</v>
      </c>
      <c r="C68" s="6" t="str">
        <f>"田东岳"</f>
        <v>田东岳</v>
      </c>
      <c r="D68" s="6" t="str">
        <f>"20200212220"</f>
        <v>20200212220</v>
      </c>
      <c r="E68" s="7">
        <v>74.4</v>
      </c>
      <c r="F68" s="7">
        <v>92.38</v>
      </c>
      <c r="G68" s="7">
        <v>85.19</v>
      </c>
      <c r="H68" s="7"/>
      <c r="I68" s="7">
        <v>85.19</v>
      </c>
    </row>
    <row r="69" s="1" customFormat="1" ht="14" customHeight="1" spans="1:9">
      <c r="A69" s="6">
        <v>66</v>
      </c>
      <c r="B69" s="6" t="s">
        <v>25</v>
      </c>
      <c r="C69" s="6" t="str">
        <f>"张金文"</f>
        <v>张金文</v>
      </c>
      <c r="D69" s="6" t="str">
        <f>"20200212029"</f>
        <v>20200212029</v>
      </c>
      <c r="E69" s="7">
        <v>86.85</v>
      </c>
      <c r="F69" s="7">
        <v>86.68</v>
      </c>
      <c r="G69" s="7">
        <v>86.75</v>
      </c>
      <c r="H69" s="7">
        <v>2</v>
      </c>
      <c r="I69" s="7">
        <v>88.75</v>
      </c>
    </row>
    <row r="70" s="1" customFormat="1" ht="14" customHeight="1" spans="1:9">
      <c r="A70" s="6">
        <v>67</v>
      </c>
      <c r="B70" s="6" t="s">
        <v>25</v>
      </c>
      <c r="C70" s="6" t="str">
        <f>"李斌"</f>
        <v>李斌</v>
      </c>
      <c r="D70" s="6" t="str">
        <f>"20200212223"</f>
        <v>20200212223</v>
      </c>
      <c r="E70" s="7">
        <v>73.15</v>
      </c>
      <c r="F70" s="7">
        <v>94.18</v>
      </c>
      <c r="G70" s="7">
        <v>85.77</v>
      </c>
      <c r="H70" s="7"/>
      <c r="I70" s="7">
        <v>85.77</v>
      </c>
    </row>
    <row r="71" s="1" customFormat="1" ht="14" customHeight="1" spans="1:9">
      <c r="A71" s="6">
        <v>68</v>
      </c>
      <c r="B71" s="6" t="s">
        <v>25</v>
      </c>
      <c r="C71" s="6" t="str">
        <f>"王林波"</f>
        <v>王林波</v>
      </c>
      <c r="D71" s="6" t="str">
        <f>"20200212028"</f>
        <v>20200212028</v>
      </c>
      <c r="E71" s="7">
        <v>78.7</v>
      </c>
      <c r="F71" s="7">
        <v>81.42</v>
      </c>
      <c r="G71" s="7">
        <v>80.33</v>
      </c>
      <c r="H71" s="7"/>
      <c r="I71" s="7">
        <v>80.33</v>
      </c>
    </row>
    <row r="72" s="1" customFormat="1" ht="14" customHeight="1" spans="1:9">
      <c r="A72" s="6">
        <v>69</v>
      </c>
      <c r="B72" s="6" t="s">
        <v>25</v>
      </c>
      <c r="C72" s="6" t="str">
        <f>"赵利文"</f>
        <v>赵利文</v>
      </c>
      <c r="D72" s="6" t="str">
        <f>"20200212030"</f>
        <v>20200212030</v>
      </c>
      <c r="E72" s="7">
        <v>75.85</v>
      </c>
      <c r="F72" s="7">
        <v>71.28</v>
      </c>
      <c r="G72" s="7">
        <v>73.11</v>
      </c>
      <c r="H72" s="7">
        <v>2</v>
      </c>
      <c r="I72" s="7">
        <v>75.11</v>
      </c>
    </row>
    <row r="73" s="1" customFormat="1" ht="14" customHeight="1" spans="1:9">
      <c r="A73" s="6">
        <v>70</v>
      </c>
      <c r="B73" s="6" t="s">
        <v>26</v>
      </c>
      <c r="C73" s="6" t="str">
        <f>"李晓朋"</f>
        <v>李晓朋</v>
      </c>
      <c r="D73" s="6" t="str">
        <f>"20200206930"</f>
        <v>20200206930</v>
      </c>
      <c r="E73" s="7">
        <v>88.05</v>
      </c>
      <c r="F73" s="7">
        <v>84.56</v>
      </c>
      <c r="G73" s="7">
        <v>85.96</v>
      </c>
      <c r="H73" s="7"/>
      <c r="I73" s="7">
        <v>85.96</v>
      </c>
    </row>
    <row r="74" s="1" customFormat="1" ht="14" customHeight="1" spans="1:9">
      <c r="A74" s="6">
        <v>71</v>
      </c>
      <c r="B74" s="6" t="s">
        <v>26</v>
      </c>
      <c r="C74" s="6" t="str">
        <f>"王静"</f>
        <v>王静</v>
      </c>
      <c r="D74" s="6" t="str">
        <f>"20200206926"</f>
        <v>20200206926</v>
      </c>
      <c r="E74" s="7">
        <v>81.7</v>
      </c>
      <c r="F74" s="7">
        <v>88.2</v>
      </c>
      <c r="G74" s="7">
        <v>85.6</v>
      </c>
      <c r="H74" s="7"/>
      <c r="I74" s="7">
        <v>85.6</v>
      </c>
    </row>
    <row r="75" s="1" customFormat="1" ht="14" customHeight="1" spans="1:9">
      <c r="A75" s="6">
        <v>72</v>
      </c>
      <c r="B75" s="6" t="s">
        <v>27</v>
      </c>
      <c r="C75" s="6" t="str">
        <f>"张烨"</f>
        <v>张烨</v>
      </c>
      <c r="D75" s="6" t="str">
        <f>"20200206927"</f>
        <v>20200206927</v>
      </c>
      <c r="E75" s="7">
        <v>87.2</v>
      </c>
      <c r="F75" s="7">
        <v>96.48</v>
      </c>
      <c r="G75" s="7">
        <v>92.77</v>
      </c>
      <c r="H75" s="7"/>
      <c r="I75" s="7">
        <v>92.77</v>
      </c>
    </row>
    <row r="76" s="1" customFormat="1" ht="14" customHeight="1" spans="1:9">
      <c r="A76" s="6">
        <v>73</v>
      </c>
      <c r="B76" s="6" t="s">
        <v>27</v>
      </c>
      <c r="C76" s="6" t="str">
        <f>"苑青鼎"</f>
        <v>苑青鼎</v>
      </c>
      <c r="D76" s="6" t="str">
        <f>"20200206925"</f>
        <v>20200206925</v>
      </c>
      <c r="E76" s="7">
        <v>81.6</v>
      </c>
      <c r="F76" s="7">
        <v>91.28</v>
      </c>
      <c r="G76" s="7">
        <v>87.41</v>
      </c>
      <c r="H76" s="7"/>
      <c r="I76" s="7">
        <v>87.41</v>
      </c>
    </row>
    <row r="77" s="1" customFormat="1" ht="14" customHeight="1" spans="1:9">
      <c r="A77" s="6">
        <v>74</v>
      </c>
      <c r="B77" s="6" t="s">
        <v>27</v>
      </c>
      <c r="C77" s="6" t="str">
        <f>"胡靖"</f>
        <v>胡靖</v>
      </c>
      <c r="D77" s="6" t="str">
        <f>"20200206928"</f>
        <v>20200206928</v>
      </c>
      <c r="E77" s="7">
        <v>79.1</v>
      </c>
      <c r="F77" s="7">
        <v>86.54</v>
      </c>
      <c r="G77" s="7">
        <v>83.56</v>
      </c>
      <c r="H77" s="7"/>
      <c r="I77" s="7">
        <v>83.56</v>
      </c>
    </row>
    <row r="78" s="1" customFormat="1" ht="14" customHeight="1" spans="1:9">
      <c r="A78" s="6">
        <v>75</v>
      </c>
      <c r="B78" s="6" t="s">
        <v>27</v>
      </c>
      <c r="C78" s="6" t="str">
        <f>"岳成"</f>
        <v>岳成</v>
      </c>
      <c r="D78" s="6" t="str">
        <f>"20200206923"</f>
        <v>20200206923</v>
      </c>
      <c r="E78" s="7">
        <v>74.45</v>
      </c>
      <c r="F78" s="7">
        <v>87.56</v>
      </c>
      <c r="G78" s="7">
        <v>82.32</v>
      </c>
      <c r="H78" s="7"/>
      <c r="I78" s="7">
        <v>82.32</v>
      </c>
    </row>
    <row r="79" s="1" customFormat="1" ht="14" customHeight="1" spans="1:9">
      <c r="A79" s="6">
        <v>76</v>
      </c>
      <c r="B79" s="6" t="s">
        <v>28</v>
      </c>
      <c r="C79" s="6" t="str">
        <f>"唐静云"</f>
        <v>唐静云</v>
      </c>
      <c r="D79" s="6" t="str">
        <f>"20200212122"</f>
        <v>20200212122</v>
      </c>
      <c r="E79" s="7">
        <v>93.65</v>
      </c>
      <c r="F79" s="7">
        <v>101.7</v>
      </c>
      <c r="G79" s="7">
        <v>98.48</v>
      </c>
      <c r="H79" s="7"/>
      <c r="I79" s="7">
        <v>98.48</v>
      </c>
    </row>
    <row r="80" s="1" customFormat="1" ht="14" customHeight="1" spans="1:9">
      <c r="A80" s="6">
        <v>77</v>
      </c>
      <c r="B80" s="6" t="s">
        <v>28</v>
      </c>
      <c r="C80" s="6" t="str">
        <f>"王乐晨"</f>
        <v>王乐晨</v>
      </c>
      <c r="D80" s="6" t="str">
        <f>"20200105917"</f>
        <v>20200105917</v>
      </c>
      <c r="E80" s="7">
        <v>90.5</v>
      </c>
      <c r="F80" s="7">
        <v>102.94</v>
      </c>
      <c r="G80" s="7">
        <v>97.96</v>
      </c>
      <c r="H80" s="7"/>
      <c r="I80" s="7">
        <v>97.96</v>
      </c>
    </row>
    <row r="81" s="1" customFormat="1" ht="14" customHeight="1" spans="1:9">
      <c r="A81" s="6">
        <v>78</v>
      </c>
      <c r="B81" s="6" t="s">
        <v>28</v>
      </c>
      <c r="C81" s="6" t="str">
        <f>"戴志康"</f>
        <v>戴志康</v>
      </c>
      <c r="D81" s="6" t="str">
        <f>"20200105716"</f>
        <v>20200105716</v>
      </c>
      <c r="E81" s="7">
        <v>82.55</v>
      </c>
      <c r="F81" s="7">
        <v>107.13</v>
      </c>
      <c r="G81" s="7">
        <v>97.3</v>
      </c>
      <c r="H81" s="7"/>
      <c r="I81" s="7">
        <v>97.3</v>
      </c>
    </row>
    <row r="82" s="1" customFormat="1" ht="14" customHeight="1" spans="1:9">
      <c r="A82" s="6">
        <v>79</v>
      </c>
      <c r="B82" s="6" t="s">
        <v>28</v>
      </c>
      <c r="C82" s="6" t="str">
        <f>"陈园园"</f>
        <v>陈园园</v>
      </c>
      <c r="D82" s="6" t="str">
        <f>"20200105830"</f>
        <v>20200105830</v>
      </c>
      <c r="E82" s="7">
        <v>90.9</v>
      </c>
      <c r="F82" s="7">
        <v>101.54</v>
      </c>
      <c r="G82" s="7">
        <v>97.28</v>
      </c>
      <c r="H82" s="7"/>
      <c r="I82" s="7">
        <v>97.28</v>
      </c>
    </row>
    <row r="83" s="1" customFormat="1" ht="14" customHeight="1" spans="1:9">
      <c r="A83" s="6">
        <v>80</v>
      </c>
      <c r="B83" s="6" t="s">
        <v>28</v>
      </c>
      <c r="C83" s="6" t="str">
        <f>"赵晓悦"</f>
        <v>赵晓悦</v>
      </c>
      <c r="D83" s="6" t="str">
        <f>"20200105821"</f>
        <v>20200105821</v>
      </c>
      <c r="E83" s="7">
        <v>88.2</v>
      </c>
      <c r="F83" s="7">
        <v>102.36</v>
      </c>
      <c r="G83" s="7">
        <v>96.7</v>
      </c>
      <c r="H83" s="7"/>
      <c r="I83" s="7">
        <v>96.7</v>
      </c>
    </row>
    <row r="84" s="1" customFormat="1" ht="14" customHeight="1" spans="1:9">
      <c r="A84" s="6">
        <v>81</v>
      </c>
      <c r="B84" s="6" t="s">
        <v>28</v>
      </c>
      <c r="C84" s="6" t="str">
        <f>"刘梦男"</f>
        <v>刘梦男</v>
      </c>
      <c r="D84" s="6" t="str">
        <f>"20200105724"</f>
        <v>20200105724</v>
      </c>
      <c r="E84" s="7">
        <v>91.3</v>
      </c>
      <c r="F84" s="7">
        <v>100.02</v>
      </c>
      <c r="G84" s="7">
        <v>96.53</v>
      </c>
      <c r="H84" s="7"/>
      <c r="I84" s="7">
        <v>96.53</v>
      </c>
    </row>
    <row r="85" s="1" customFormat="1" ht="14" customHeight="1" spans="1:9">
      <c r="A85" s="6">
        <v>82</v>
      </c>
      <c r="B85" s="6" t="s">
        <v>28</v>
      </c>
      <c r="C85" s="6" t="str">
        <f>"王欣欣"</f>
        <v>王欣欣</v>
      </c>
      <c r="D85" s="6" t="str">
        <f>"20200212130"</f>
        <v>20200212130</v>
      </c>
      <c r="E85" s="7">
        <v>89.45</v>
      </c>
      <c r="F85" s="7">
        <v>100.37</v>
      </c>
      <c r="G85" s="7">
        <v>96</v>
      </c>
      <c r="H85" s="7"/>
      <c r="I85" s="7">
        <v>96</v>
      </c>
    </row>
    <row r="86" s="1" customFormat="1" ht="14" customHeight="1" spans="1:9">
      <c r="A86" s="6">
        <v>83</v>
      </c>
      <c r="B86" s="6" t="s">
        <v>28</v>
      </c>
      <c r="C86" s="6" t="str">
        <f>"袁保红"</f>
        <v>袁保红</v>
      </c>
      <c r="D86" s="6" t="str">
        <f>"20200105827"</f>
        <v>20200105827</v>
      </c>
      <c r="E86" s="7">
        <v>94.05</v>
      </c>
      <c r="F86" s="7">
        <v>97.2</v>
      </c>
      <c r="G86" s="7">
        <v>95.94</v>
      </c>
      <c r="H86" s="7"/>
      <c r="I86" s="7">
        <v>95.94</v>
      </c>
    </row>
    <row r="87" s="1" customFormat="1" ht="14" customHeight="1" spans="1:9">
      <c r="A87" s="6">
        <v>84</v>
      </c>
      <c r="B87" s="6" t="s">
        <v>28</v>
      </c>
      <c r="C87" s="6" t="str">
        <f>"刘超群"</f>
        <v>刘超群</v>
      </c>
      <c r="D87" s="6" t="str">
        <f>"20200105714"</f>
        <v>20200105714</v>
      </c>
      <c r="E87" s="7">
        <v>90.6</v>
      </c>
      <c r="F87" s="7">
        <v>99.07</v>
      </c>
      <c r="G87" s="7">
        <v>95.68</v>
      </c>
      <c r="H87" s="7"/>
      <c r="I87" s="7">
        <v>95.68</v>
      </c>
    </row>
    <row r="88" s="1" customFormat="1" ht="14" customHeight="1" spans="1:9">
      <c r="A88" s="6">
        <v>85</v>
      </c>
      <c r="B88" s="6" t="s">
        <v>28</v>
      </c>
      <c r="C88" s="6" t="str">
        <f>"蒋思雨"</f>
        <v>蒋思雨</v>
      </c>
      <c r="D88" s="6" t="str">
        <f>"20200105617"</f>
        <v>20200105617</v>
      </c>
      <c r="E88" s="7">
        <v>89</v>
      </c>
      <c r="F88" s="7">
        <v>99.85</v>
      </c>
      <c r="G88" s="7">
        <v>95.51</v>
      </c>
      <c r="H88" s="7"/>
      <c r="I88" s="7">
        <v>95.51</v>
      </c>
    </row>
    <row r="89" s="1" customFormat="1" ht="14" customHeight="1" spans="1:9">
      <c r="A89" s="6">
        <v>86</v>
      </c>
      <c r="B89" s="6" t="s">
        <v>29</v>
      </c>
      <c r="C89" s="6" t="str">
        <f>"李宜璇"</f>
        <v>李宜璇</v>
      </c>
      <c r="D89" s="6" t="str">
        <f>"20200105905"</f>
        <v>20200105905</v>
      </c>
      <c r="E89" s="7">
        <v>93.5</v>
      </c>
      <c r="F89" s="7">
        <v>102.92</v>
      </c>
      <c r="G89" s="7">
        <v>99.15</v>
      </c>
      <c r="H89" s="7"/>
      <c r="I89" s="7">
        <v>99.15</v>
      </c>
    </row>
    <row r="90" s="1" customFormat="1" ht="14" customHeight="1" spans="1:9">
      <c r="A90" s="6">
        <v>87</v>
      </c>
      <c r="B90" s="6" t="s">
        <v>29</v>
      </c>
      <c r="C90" s="6" t="str">
        <f>"代秀娟"</f>
        <v>代秀娟</v>
      </c>
      <c r="D90" s="6" t="str">
        <f>"20200105815"</f>
        <v>20200105815</v>
      </c>
      <c r="E90" s="7">
        <v>90.55</v>
      </c>
      <c r="F90" s="7">
        <v>103.09</v>
      </c>
      <c r="G90" s="7">
        <v>98.07</v>
      </c>
      <c r="H90" s="7"/>
      <c r="I90" s="7">
        <v>98.07</v>
      </c>
    </row>
    <row r="91" s="1" customFormat="1" ht="14" customHeight="1" spans="1:9">
      <c r="A91" s="6">
        <v>88</v>
      </c>
      <c r="B91" s="6" t="s">
        <v>29</v>
      </c>
      <c r="C91" s="6" t="str">
        <f>"孙雨晴"</f>
        <v>孙雨晴</v>
      </c>
      <c r="D91" s="6" t="str">
        <f>"20200105614"</f>
        <v>20200105614</v>
      </c>
      <c r="E91" s="7">
        <v>101.3</v>
      </c>
      <c r="F91" s="7">
        <v>95.6</v>
      </c>
      <c r="G91" s="7">
        <v>97.88</v>
      </c>
      <c r="H91" s="7"/>
      <c r="I91" s="7">
        <v>97.88</v>
      </c>
    </row>
    <row r="92" s="1" customFormat="1" ht="14" customHeight="1" spans="1:9">
      <c r="A92" s="6">
        <v>89</v>
      </c>
      <c r="B92" s="6" t="s">
        <v>29</v>
      </c>
      <c r="C92" s="6" t="str">
        <f>"张岩"</f>
        <v>张岩</v>
      </c>
      <c r="D92" s="6" t="str">
        <f>"20200105816"</f>
        <v>20200105816</v>
      </c>
      <c r="E92" s="7">
        <v>96.6</v>
      </c>
      <c r="F92" s="7">
        <v>97.77</v>
      </c>
      <c r="G92" s="7">
        <v>97.3</v>
      </c>
      <c r="H92" s="7"/>
      <c r="I92" s="7">
        <v>97.3</v>
      </c>
    </row>
    <row r="93" s="1" customFormat="1" ht="14" customHeight="1" spans="1:9">
      <c r="A93" s="6">
        <v>90</v>
      </c>
      <c r="B93" s="6" t="s">
        <v>29</v>
      </c>
      <c r="C93" s="6" t="str">
        <f>"孙钊颖"</f>
        <v>孙钊颖</v>
      </c>
      <c r="D93" s="6" t="str">
        <f>"20200105906"</f>
        <v>20200105906</v>
      </c>
      <c r="E93" s="7">
        <v>87.75</v>
      </c>
      <c r="F93" s="7">
        <v>103.61</v>
      </c>
      <c r="G93" s="7">
        <v>97.27</v>
      </c>
      <c r="H93" s="7"/>
      <c r="I93" s="7">
        <v>97.27</v>
      </c>
    </row>
    <row r="94" s="1" customFormat="1" ht="14" customHeight="1" spans="1:9">
      <c r="A94" s="6">
        <v>91</v>
      </c>
      <c r="B94" s="6" t="s">
        <v>29</v>
      </c>
      <c r="C94" s="6" t="str">
        <f>"邵海艳"</f>
        <v>邵海艳</v>
      </c>
      <c r="D94" s="6" t="str">
        <f>"20200105805"</f>
        <v>20200105805</v>
      </c>
      <c r="E94" s="7">
        <v>99.95</v>
      </c>
      <c r="F94" s="7">
        <v>95.2</v>
      </c>
      <c r="G94" s="7">
        <v>97.1</v>
      </c>
      <c r="H94" s="7"/>
      <c r="I94" s="7">
        <v>97.1</v>
      </c>
    </row>
    <row r="95" s="1" customFormat="1" ht="14" customHeight="1" spans="1:9">
      <c r="A95" s="6">
        <v>92</v>
      </c>
      <c r="B95" s="6" t="s">
        <v>29</v>
      </c>
      <c r="C95" s="6" t="str">
        <f>"刘练"</f>
        <v>刘练</v>
      </c>
      <c r="D95" s="6" t="str">
        <f>"20200212128"</f>
        <v>20200212128</v>
      </c>
      <c r="E95" s="7">
        <v>83.75</v>
      </c>
      <c r="F95" s="7">
        <v>105.41</v>
      </c>
      <c r="G95" s="7">
        <v>96.75</v>
      </c>
      <c r="H95" s="7"/>
      <c r="I95" s="7">
        <v>96.75</v>
      </c>
    </row>
    <row r="96" s="1" customFormat="1" ht="14" customHeight="1" spans="1:9">
      <c r="A96" s="6">
        <v>93</v>
      </c>
      <c r="B96" s="6" t="s">
        <v>29</v>
      </c>
      <c r="C96" s="6" t="str">
        <f>"陈菊"</f>
        <v>陈菊</v>
      </c>
      <c r="D96" s="6" t="str">
        <f>"20200105918"</f>
        <v>20200105918</v>
      </c>
      <c r="E96" s="7">
        <v>86.25</v>
      </c>
      <c r="F96" s="7">
        <v>102.39</v>
      </c>
      <c r="G96" s="7">
        <v>95.93</v>
      </c>
      <c r="H96" s="7"/>
      <c r="I96" s="7">
        <v>95.93</v>
      </c>
    </row>
    <row r="97" s="1" customFormat="1" ht="14" customHeight="1" spans="1:9">
      <c r="A97" s="6">
        <v>94</v>
      </c>
      <c r="B97" s="6" t="s">
        <v>29</v>
      </c>
      <c r="C97" s="6" t="str">
        <f>"程娜娜"</f>
        <v>程娜娜</v>
      </c>
      <c r="D97" s="6" t="str">
        <f>"20200105709"</f>
        <v>20200105709</v>
      </c>
      <c r="E97" s="7">
        <v>83.15</v>
      </c>
      <c r="F97" s="7">
        <v>104.34</v>
      </c>
      <c r="G97" s="7">
        <v>95.86</v>
      </c>
      <c r="H97" s="7"/>
      <c r="I97" s="7">
        <v>95.86</v>
      </c>
    </row>
    <row r="98" s="1" customFormat="1" ht="14" customHeight="1" spans="1:9">
      <c r="A98" s="6">
        <v>95</v>
      </c>
      <c r="B98" s="6" t="s">
        <v>29</v>
      </c>
      <c r="C98" s="6" t="str">
        <f>"张振宇"</f>
        <v>张振宇</v>
      </c>
      <c r="D98" s="6" t="str">
        <f>"20200212126"</f>
        <v>20200212126</v>
      </c>
      <c r="E98" s="7">
        <v>95.55</v>
      </c>
      <c r="F98" s="7">
        <v>95.25</v>
      </c>
      <c r="G98" s="7">
        <v>95.37</v>
      </c>
      <c r="H98" s="7"/>
      <c r="I98" s="7">
        <v>95.37</v>
      </c>
    </row>
    <row r="99" s="1" customFormat="1" ht="14" customHeight="1" spans="1:9">
      <c r="A99" s="6">
        <v>96</v>
      </c>
      <c r="B99" s="6" t="s">
        <v>30</v>
      </c>
      <c r="C99" s="6" t="str">
        <f>"陆美"</f>
        <v>陆美</v>
      </c>
      <c r="D99" s="6" t="str">
        <f>"20200106225"</f>
        <v>20200106225</v>
      </c>
      <c r="E99" s="7">
        <v>90.2</v>
      </c>
      <c r="F99" s="7">
        <v>102.58</v>
      </c>
      <c r="G99" s="7">
        <v>97.63</v>
      </c>
      <c r="H99" s="7"/>
      <c r="I99" s="7">
        <v>97.63</v>
      </c>
    </row>
    <row r="100" s="1" customFormat="1" ht="14" customHeight="1" spans="1:9">
      <c r="A100" s="6">
        <v>97</v>
      </c>
      <c r="B100" s="6" t="s">
        <v>30</v>
      </c>
      <c r="C100" s="6" t="str">
        <f>"武昕晨"</f>
        <v>武昕晨</v>
      </c>
      <c r="D100" s="6" t="str">
        <f>"20200106116"</f>
        <v>20200106116</v>
      </c>
      <c r="E100" s="7">
        <v>92.85</v>
      </c>
      <c r="F100" s="7">
        <v>99.86</v>
      </c>
      <c r="G100" s="7">
        <v>97.06</v>
      </c>
      <c r="H100" s="7"/>
      <c r="I100" s="7">
        <v>97.06</v>
      </c>
    </row>
    <row r="101" s="1" customFormat="1" ht="14" customHeight="1" spans="1:9">
      <c r="A101" s="6">
        <v>98</v>
      </c>
      <c r="B101" s="6" t="s">
        <v>30</v>
      </c>
      <c r="C101" s="6" t="str">
        <f>"李晓磊"</f>
        <v>李晓磊</v>
      </c>
      <c r="D101" s="6" t="str">
        <f>"20200212017"</f>
        <v>20200212017</v>
      </c>
      <c r="E101" s="7">
        <v>91.55</v>
      </c>
      <c r="F101" s="7">
        <v>90.33</v>
      </c>
      <c r="G101" s="7">
        <v>90.82</v>
      </c>
      <c r="H101" s="7"/>
      <c r="I101" s="7">
        <v>90.82</v>
      </c>
    </row>
    <row r="102" s="1" customFormat="1" ht="14" customHeight="1" spans="1:9">
      <c r="A102" s="6">
        <v>99</v>
      </c>
      <c r="B102" s="6" t="s">
        <v>30</v>
      </c>
      <c r="C102" s="6" t="str">
        <f>"宋学杰"</f>
        <v>宋学杰</v>
      </c>
      <c r="D102" s="6" t="str">
        <f>"20200106110"</f>
        <v>20200106110</v>
      </c>
      <c r="E102" s="7">
        <v>90.55</v>
      </c>
      <c r="F102" s="7">
        <v>90.58</v>
      </c>
      <c r="G102" s="7">
        <v>90.57</v>
      </c>
      <c r="H102" s="7"/>
      <c r="I102" s="7">
        <v>90.57</v>
      </c>
    </row>
    <row r="103" s="1" customFormat="1" ht="14" customHeight="1" spans="1:9">
      <c r="A103" s="6">
        <v>100</v>
      </c>
      <c r="B103" s="6" t="s">
        <v>30</v>
      </c>
      <c r="C103" s="6" t="str">
        <f>"王标"</f>
        <v>王标</v>
      </c>
      <c r="D103" s="6" t="str">
        <f>"20200212019"</f>
        <v>20200212019</v>
      </c>
      <c r="E103" s="7">
        <v>87.1</v>
      </c>
      <c r="F103" s="7">
        <v>92.17</v>
      </c>
      <c r="G103" s="7">
        <v>90.14</v>
      </c>
      <c r="H103" s="7"/>
      <c r="I103" s="7">
        <v>90.14</v>
      </c>
    </row>
    <row r="104" s="1" customFormat="1" ht="14" customHeight="1" spans="1:9">
      <c r="A104" s="6">
        <v>101</v>
      </c>
      <c r="B104" s="6" t="s">
        <v>30</v>
      </c>
      <c r="C104" s="6" t="str">
        <f>"刘会松"</f>
        <v>刘会松</v>
      </c>
      <c r="D104" s="6" t="str">
        <f>"20200106025"</f>
        <v>20200106025</v>
      </c>
      <c r="E104" s="7">
        <v>90.2</v>
      </c>
      <c r="F104" s="7">
        <v>87.92</v>
      </c>
      <c r="G104" s="7">
        <v>88.83</v>
      </c>
      <c r="H104" s="7"/>
      <c r="I104" s="7">
        <v>88.83</v>
      </c>
    </row>
    <row r="105" s="1" customFormat="1" ht="14" customHeight="1" spans="1:9">
      <c r="A105" s="6">
        <v>102</v>
      </c>
      <c r="B105" s="6" t="s">
        <v>30</v>
      </c>
      <c r="C105" s="6" t="str">
        <f>"赵良宇"</f>
        <v>赵良宇</v>
      </c>
      <c r="D105" s="6" t="str">
        <f>"20200212013"</f>
        <v>20200212013</v>
      </c>
      <c r="E105" s="7">
        <v>73.55</v>
      </c>
      <c r="F105" s="7">
        <v>98.09</v>
      </c>
      <c r="G105" s="7">
        <v>88.27</v>
      </c>
      <c r="H105" s="7"/>
      <c r="I105" s="7">
        <v>88.27</v>
      </c>
    </row>
    <row r="106" s="1" customFormat="1" ht="14" customHeight="1" spans="1:9">
      <c r="A106" s="6">
        <v>103</v>
      </c>
      <c r="B106" s="6" t="s">
        <v>30</v>
      </c>
      <c r="C106" s="6" t="str">
        <f>"张诗语"</f>
        <v>张诗语</v>
      </c>
      <c r="D106" s="6" t="str">
        <f>"20200212011"</f>
        <v>20200212011</v>
      </c>
      <c r="E106" s="7">
        <v>88.15</v>
      </c>
      <c r="F106" s="7">
        <v>87.1</v>
      </c>
      <c r="G106" s="7">
        <v>87.52</v>
      </c>
      <c r="H106" s="7"/>
      <c r="I106" s="7">
        <v>87.52</v>
      </c>
    </row>
    <row r="107" s="1" customFormat="1" ht="14" customHeight="1" spans="1:9">
      <c r="A107" s="6">
        <v>104</v>
      </c>
      <c r="B107" s="6" t="s">
        <v>31</v>
      </c>
      <c r="C107" s="6" t="str">
        <f>"周亮亮"</f>
        <v>周亮亮</v>
      </c>
      <c r="D107" s="6" t="str">
        <f>"20200106223"</f>
        <v>20200106223</v>
      </c>
      <c r="E107" s="7">
        <v>96.8</v>
      </c>
      <c r="F107" s="7">
        <v>101.27</v>
      </c>
      <c r="G107" s="7">
        <v>99.48</v>
      </c>
      <c r="H107" s="7"/>
      <c r="I107" s="7">
        <v>99.48</v>
      </c>
    </row>
    <row r="108" s="1" customFormat="1" ht="14" customHeight="1" spans="1:9">
      <c r="A108" s="6">
        <v>105</v>
      </c>
      <c r="B108" s="6" t="s">
        <v>31</v>
      </c>
      <c r="C108" s="6" t="str">
        <f>"范露雯"</f>
        <v>范露雯</v>
      </c>
      <c r="D108" s="6" t="str">
        <f>"20200106011"</f>
        <v>20200106011</v>
      </c>
      <c r="E108" s="7">
        <v>95.3</v>
      </c>
      <c r="F108" s="7">
        <v>101.84</v>
      </c>
      <c r="G108" s="7">
        <v>99.22</v>
      </c>
      <c r="H108" s="7"/>
      <c r="I108" s="7">
        <v>99.22</v>
      </c>
    </row>
    <row r="109" s="1" customFormat="1" ht="14" customHeight="1" spans="1:9">
      <c r="A109" s="6">
        <v>106</v>
      </c>
      <c r="B109" s="6" t="s">
        <v>31</v>
      </c>
      <c r="C109" s="6" t="str">
        <f>"杜威"</f>
        <v>杜威</v>
      </c>
      <c r="D109" s="6" t="str">
        <f>"20200106026"</f>
        <v>20200106026</v>
      </c>
      <c r="E109" s="7">
        <v>88.9</v>
      </c>
      <c r="F109" s="7">
        <v>104.69</v>
      </c>
      <c r="G109" s="7">
        <v>98.37</v>
      </c>
      <c r="H109" s="7"/>
      <c r="I109" s="7">
        <v>98.37</v>
      </c>
    </row>
    <row r="110" s="1" customFormat="1" ht="14" customHeight="1" spans="1:9">
      <c r="A110" s="6">
        <v>107</v>
      </c>
      <c r="B110" s="6" t="s">
        <v>31</v>
      </c>
      <c r="C110" s="6" t="str">
        <f>"冯丽"</f>
        <v>冯丽</v>
      </c>
      <c r="D110" s="6" t="str">
        <f>"20200106125"</f>
        <v>20200106125</v>
      </c>
      <c r="E110" s="7">
        <v>82.9</v>
      </c>
      <c r="F110" s="7">
        <v>105.25</v>
      </c>
      <c r="G110" s="7">
        <v>96.31</v>
      </c>
      <c r="H110" s="7"/>
      <c r="I110" s="7">
        <v>96.31</v>
      </c>
    </row>
    <row r="111" s="1" customFormat="1" ht="14" customHeight="1" spans="1:9">
      <c r="A111" s="6">
        <v>108</v>
      </c>
      <c r="B111" s="6" t="s">
        <v>31</v>
      </c>
      <c r="C111" s="6" t="str">
        <f>"李萍"</f>
        <v>李萍</v>
      </c>
      <c r="D111" s="6" t="str">
        <f>"20200106221"</f>
        <v>20200106221</v>
      </c>
      <c r="E111" s="7">
        <v>96.6</v>
      </c>
      <c r="F111" s="7">
        <v>90.21</v>
      </c>
      <c r="G111" s="7">
        <v>92.77</v>
      </c>
      <c r="H111" s="7"/>
      <c r="I111" s="7">
        <v>92.77</v>
      </c>
    </row>
    <row r="112" s="1" customFormat="1" ht="14" customHeight="1" spans="1:9">
      <c r="A112" s="6">
        <v>109</v>
      </c>
      <c r="B112" s="6" t="s">
        <v>31</v>
      </c>
      <c r="C112" s="6" t="str">
        <f>"马双"</f>
        <v>马双</v>
      </c>
      <c r="D112" s="6" t="str">
        <f>"20200106121"</f>
        <v>20200106121</v>
      </c>
      <c r="E112" s="7">
        <v>85.6</v>
      </c>
      <c r="F112" s="7">
        <v>97.4</v>
      </c>
      <c r="G112" s="7">
        <v>92.68</v>
      </c>
      <c r="H112" s="7"/>
      <c r="I112" s="7">
        <v>92.68</v>
      </c>
    </row>
    <row r="113" s="1" customFormat="1" ht="14" customHeight="1" spans="1:9">
      <c r="A113" s="6">
        <v>110</v>
      </c>
      <c r="B113" s="6" t="s">
        <v>31</v>
      </c>
      <c r="C113" s="6" t="str">
        <f>"齐泉"</f>
        <v>齐泉</v>
      </c>
      <c r="D113" s="6" t="str">
        <f>"20200106205"</f>
        <v>20200106205</v>
      </c>
      <c r="E113" s="7">
        <v>89.05</v>
      </c>
      <c r="F113" s="7">
        <v>94.71</v>
      </c>
      <c r="G113" s="7">
        <v>92.45</v>
      </c>
      <c r="H113" s="7"/>
      <c r="I113" s="7">
        <v>92.45</v>
      </c>
    </row>
    <row r="114" s="1" customFormat="1" ht="14" customHeight="1" spans="1:9">
      <c r="A114" s="6">
        <v>111</v>
      </c>
      <c r="B114" s="6" t="s">
        <v>31</v>
      </c>
      <c r="C114" s="6" t="str">
        <f>"康丽丽"</f>
        <v>康丽丽</v>
      </c>
      <c r="D114" s="6" t="str">
        <f>"20200212003"</f>
        <v>20200212003</v>
      </c>
      <c r="E114" s="7">
        <v>94.25</v>
      </c>
      <c r="F114" s="7">
        <v>85.4</v>
      </c>
      <c r="G114" s="7">
        <v>88.94</v>
      </c>
      <c r="H114" s="7"/>
      <c r="I114" s="7">
        <v>88.94</v>
      </c>
    </row>
    <row r="115" s="1" customFormat="1" ht="14" customHeight="1" spans="1:9">
      <c r="A115" s="6">
        <v>112</v>
      </c>
      <c r="B115" s="6" t="s">
        <v>31</v>
      </c>
      <c r="C115" s="6" t="str">
        <f>"卢利智"</f>
        <v>卢利智</v>
      </c>
      <c r="D115" s="6" t="str">
        <f>"20200106127"</f>
        <v>20200106127</v>
      </c>
      <c r="E115" s="7">
        <v>96.55</v>
      </c>
      <c r="F115" s="7">
        <v>83.87</v>
      </c>
      <c r="G115" s="7">
        <v>88.94</v>
      </c>
      <c r="H115" s="7"/>
      <c r="I115" s="7">
        <v>88.94</v>
      </c>
    </row>
    <row r="116" s="1" customFormat="1" ht="14" customHeight="1" spans="1:9">
      <c r="A116" s="6">
        <v>113</v>
      </c>
      <c r="B116" s="6" t="s">
        <v>32</v>
      </c>
      <c r="C116" s="6" t="str">
        <f>"李蒙蒙"</f>
        <v>李蒙蒙</v>
      </c>
      <c r="D116" s="6" t="str">
        <f>"20200206610"</f>
        <v>20200206610</v>
      </c>
      <c r="E116" s="7">
        <v>91.6</v>
      </c>
      <c r="F116" s="7">
        <v>102.02</v>
      </c>
      <c r="G116" s="7">
        <v>97.85</v>
      </c>
      <c r="H116" s="7"/>
      <c r="I116" s="7">
        <v>97.85</v>
      </c>
    </row>
    <row r="117" s="1" customFormat="1" ht="14" customHeight="1" spans="1:9">
      <c r="A117" s="6">
        <v>114</v>
      </c>
      <c r="B117" s="6" t="s">
        <v>32</v>
      </c>
      <c r="C117" s="6" t="str">
        <f>"黄雅洁"</f>
        <v>黄雅洁</v>
      </c>
      <c r="D117" s="6" t="str">
        <f>"20200106315"</f>
        <v>20200106315</v>
      </c>
      <c r="E117" s="7">
        <v>95.45</v>
      </c>
      <c r="F117" s="7">
        <v>99.42</v>
      </c>
      <c r="G117" s="7">
        <v>97.83</v>
      </c>
      <c r="H117" s="7"/>
      <c r="I117" s="7">
        <v>97.83</v>
      </c>
    </row>
    <row r="118" s="1" customFormat="1" ht="14" customHeight="1" spans="1:9">
      <c r="A118" s="6">
        <v>115</v>
      </c>
      <c r="B118" s="6" t="s">
        <v>32</v>
      </c>
      <c r="C118" s="6" t="str">
        <f>"王晓倩"</f>
        <v>王晓倩</v>
      </c>
      <c r="D118" s="6" t="str">
        <f>"20200208029"</f>
        <v>20200208029</v>
      </c>
      <c r="E118" s="7">
        <v>91.8</v>
      </c>
      <c r="F118" s="7">
        <v>98.96</v>
      </c>
      <c r="G118" s="7">
        <v>96.1</v>
      </c>
      <c r="H118" s="7"/>
      <c r="I118" s="7">
        <v>96.1</v>
      </c>
    </row>
    <row r="119" s="1" customFormat="1" ht="14" customHeight="1" spans="1:9">
      <c r="A119" s="6">
        <v>116</v>
      </c>
      <c r="B119" s="6" t="s">
        <v>32</v>
      </c>
      <c r="C119" s="6" t="str">
        <f>"张金萍"</f>
        <v>张金萍</v>
      </c>
      <c r="D119" s="6" t="str">
        <f>"20200106322"</f>
        <v>20200106322</v>
      </c>
      <c r="E119" s="7">
        <v>91.65</v>
      </c>
      <c r="F119" s="7">
        <v>98.28</v>
      </c>
      <c r="G119" s="7">
        <v>95.63</v>
      </c>
      <c r="H119" s="7"/>
      <c r="I119" s="7">
        <v>95.63</v>
      </c>
    </row>
    <row r="120" s="1" customFormat="1" ht="14" customHeight="1" spans="1:9">
      <c r="A120" s="6">
        <v>117</v>
      </c>
      <c r="B120" s="6" t="s">
        <v>32</v>
      </c>
      <c r="C120" s="6" t="str">
        <f>"王林林"</f>
        <v>王林林</v>
      </c>
      <c r="D120" s="6" t="str">
        <f>"20200106305"</f>
        <v>20200106305</v>
      </c>
      <c r="E120" s="7">
        <v>88.95</v>
      </c>
      <c r="F120" s="7">
        <v>99.46</v>
      </c>
      <c r="G120" s="7">
        <v>95.26</v>
      </c>
      <c r="H120" s="7"/>
      <c r="I120" s="7">
        <v>95.26</v>
      </c>
    </row>
    <row r="121" s="1" customFormat="1" ht="14" customHeight="1" spans="1:9">
      <c r="A121" s="6">
        <v>118</v>
      </c>
      <c r="B121" s="6" t="s">
        <v>32</v>
      </c>
      <c r="C121" s="6" t="str">
        <f>"刘鑫"</f>
        <v>刘鑫</v>
      </c>
      <c r="D121" s="6" t="str">
        <f>"20200206519"</f>
        <v>20200206519</v>
      </c>
      <c r="E121" s="7">
        <v>85</v>
      </c>
      <c r="F121" s="7">
        <v>100.88</v>
      </c>
      <c r="G121" s="7">
        <v>94.53</v>
      </c>
      <c r="H121" s="7"/>
      <c r="I121" s="7">
        <v>94.53</v>
      </c>
    </row>
    <row r="122" s="1" customFormat="1" ht="14" customHeight="1" spans="1:9">
      <c r="A122" s="6">
        <v>119</v>
      </c>
      <c r="B122" s="6" t="s">
        <v>32</v>
      </c>
      <c r="C122" s="6" t="str">
        <f>"汪彩云"</f>
        <v>汪彩云</v>
      </c>
      <c r="D122" s="6" t="str">
        <f>"20200206517"</f>
        <v>20200206517</v>
      </c>
      <c r="E122" s="7">
        <v>86.85</v>
      </c>
      <c r="F122" s="7">
        <v>99.44</v>
      </c>
      <c r="G122" s="7">
        <v>94.4</v>
      </c>
      <c r="H122" s="7"/>
      <c r="I122" s="7">
        <v>94.4</v>
      </c>
    </row>
    <row r="123" s="1" customFormat="1" ht="14" customHeight="1" spans="1:9">
      <c r="A123" s="6">
        <v>120</v>
      </c>
      <c r="B123" s="6" t="s">
        <v>32</v>
      </c>
      <c r="C123" s="6" t="str">
        <f>"崔宁宁"</f>
        <v>崔宁宁</v>
      </c>
      <c r="D123" s="6" t="str">
        <f>"20200206612"</f>
        <v>20200206612</v>
      </c>
      <c r="E123" s="7">
        <v>96.15</v>
      </c>
      <c r="F123" s="7">
        <v>92.04</v>
      </c>
      <c r="G123" s="7">
        <v>93.68</v>
      </c>
      <c r="H123" s="7"/>
      <c r="I123" s="7">
        <v>93.68</v>
      </c>
    </row>
    <row r="124" s="1" customFormat="1" ht="14" customHeight="1" spans="1:9">
      <c r="A124" s="6">
        <v>121</v>
      </c>
      <c r="B124" s="6" t="s">
        <v>33</v>
      </c>
      <c r="C124" s="6" t="str">
        <f>"侯大禹"</f>
        <v>侯大禹</v>
      </c>
      <c r="D124" s="6" t="str">
        <f>"20200206528"</f>
        <v>20200206528</v>
      </c>
      <c r="E124" s="7">
        <v>95.9</v>
      </c>
      <c r="F124" s="7">
        <v>103.6</v>
      </c>
      <c r="G124" s="7">
        <v>100.52</v>
      </c>
      <c r="H124" s="7"/>
      <c r="I124" s="7">
        <v>100.52</v>
      </c>
    </row>
    <row r="125" s="1" customFormat="1" ht="14" customHeight="1" spans="1:9">
      <c r="A125" s="6">
        <v>122</v>
      </c>
      <c r="B125" s="6" t="s">
        <v>33</v>
      </c>
      <c r="C125" s="6" t="str">
        <f>"何纪杰"</f>
        <v>何纪杰</v>
      </c>
      <c r="D125" s="6" t="str">
        <f>"20200106302"</f>
        <v>20200106302</v>
      </c>
      <c r="E125" s="7">
        <v>93.15</v>
      </c>
      <c r="F125" s="7">
        <v>101.94</v>
      </c>
      <c r="G125" s="7">
        <v>98.42</v>
      </c>
      <c r="H125" s="7"/>
      <c r="I125" s="7">
        <v>98.42</v>
      </c>
    </row>
    <row r="126" s="1" customFormat="1" ht="14" customHeight="1" spans="1:9">
      <c r="A126" s="6">
        <v>123</v>
      </c>
      <c r="B126" s="6" t="s">
        <v>33</v>
      </c>
      <c r="C126" s="6" t="str">
        <f>"李森"</f>
        <v>李森</v>
      </c>
      <c r="D126" s="6" t="str">
        <f>"20200206601"</f>
        <v>20200206601</v>
      </c>
      <c r="E126" s="7">
        <v>99.35</v>
      </c>
      <c r="F126" s="7">
        <v>96.38</v>
      </c>
      <c r="G126" s="7">
        <v>97.57</v>
      </c>
      <c r="H126" s="7"/>
      <c r="I126" s="7">
        <v>97.57</v>
      </c>
    </row>
    <row r="127" s="1" customFormat="1" ht="14" customHeight="1" spans="1:9">
      <c r="A127" s="6">
        <v>124</v>
      </c>
      <c r="B127" s="6" t="s">
        <v>33</v>
      </c>
      <c r="C127" s="6" t="str">
        <f>"贾茹"</f>
        <v>贾茹</v>
      </c>
      <c r="D127" s="6" t="str">
        <f>"20200106323"</f>
        <v>20200106323</v>
      </c>
      <c r="E127" s="7">
        <v>87.55</v>
      </c>
      <c r="F127" s="7">
        <v>101.2</v>
      </c>
      <c r="G127" s="7">
        <v>95.74</v>
      </c>
      <c r="H127" s="7"/>
      <c r="I127" s="7">
        <v>95.74</v>
      </c>
    </row>
    <row r="128" s="1" customFormat="1" ht="14" customHeight="1" spans="1:9">
      <c r="A128" s="6">
        <v>125</v>
      </c>
      <c r="B128" s="6" t="s">
        <v>34</v>
      </c>
      <c r="C128" s="6" t="str">
        <f>"李琼琼"</f>
        <v>李琼琼</v>
      </c>
      <c r="D128" s="6" t="str">
        <f>"20200208926"</f>
        <v>20200208926</v>
      </c>
      <c r="E128" s="7">
        <v>92.95</v>
      </c>
      <c r="F128" s="7">
        <v>68.66</v>
      </c>
      <c r="G128" s="7">
        <v>78.38</v>
      </c>
      <c r="H128" s="7"/>
      <c r="I128" s="7">
        <v>78.38</v>
      </c>
    </row>
    <row r="129" s="1" customFormat="1" ht="14" customHeight="1" spans="1:9">
      <c r="A129" s="6">
        <v>126</v>
      </c>
      <c r="B129" s="6" t="s">
        <v>34</v>
      </c>
      <c r="C129" s="6" t="str">
        <f>"黄伟岭"</f>
        <v>黄伟岭</v>
      </c>
      <c r="D129" s="6" t="str">
        <f>"20200212206"</f>
        <v>20200212206</v>
      </c>
      <c r="E129" s="7">
        <v>91.4</v>
      </c>
      <c r="F129" s="7">
        <v>68.03</v>
      </c>
      <c r="G129" s="7">
        <v>77.38</v>
      </c>
      <c r="H129" s="7"/>
      <c r="I129" s="7">
        <v>77.38</v>
      </c>
    </row>
    <row r="130" s="1" customFormat="1" ht="14" customHeight="1" spans="1:9">
      <c r="A130" s="6">
        <v>127</v>
      </c>
      <c r="B130" s="6" t="s">
        <v>34</v>
      </c>
      <c r="C130" s="6" t="str">
        <f>"李昊翔"</f>
        <v>李昊翔</v>
      </c>
      <c r="D130" s="6" t="str">
        <f>"20200212202"</f>
        <v>20200212202</v>
      </c>
      <c r="E130" s="7">
        <v>81.25</v>
      </c>
      <c r="F130" s="7">
        <v>62.98</v>
      </c>
      <c r="G130" s="7">
        <v>70.29</v>
      </c>
      <c r="H130" s="7"/>
      <c r="I130" s="7">
        <v>70.29</v>
      </c>
    </row>
    <row r="131" s="1" customFormat="1" ht="14" customHeight="1" spans="1:9">
      <c r="A131" s="6">
        <v>128</v>
      </c>
      <c r="B131" s="6" t="s">
        <v>34</v>
      </c>
      <c r="C131" s="6" t="str">
        <f>"王文彬"</f>
        <v>王文彬</v>
      </c>
      <c r="D131" s="6" t="str">
        <f>"20200212203"</f>
        <v>20200212203</v>
      </c>
      <c r="E131" s="7">
        <v>70.55</v>
      </c>
      <c r="F131" s="7">
        <v>62.25</v>
      </c>
      <c r="G131" s="7">
        <v>65.57</v>
      </c>
      <c r="H131" s="7"/>
      <c r="I131" s="7">
        <v>65.57</v>
      </c>
    </row>
    <row r="132" s="1" customFormat="1" ht="14" customHeight="1" spans="1:9">
      <c r="A132" s="6">
        <v>129</v>
      </c>
      <c r="B132" s="6" t="s">
        <v>35</v>
      </c>
      <c r="C132" s="6" t="str">
        <f>"李飞翔"</f>
        <v>李飞翔</v>
      </c>
      <c r="D132" s="6" t="str">
        <f>"20200208919"</f>
        <v>20200208919</v>
      </c>
      <c r="E132" s="7">
        <v>87.55</v>
      </c>
      <c r="F132" s="7">
        <v>87.33</v>
      </c>
      <c r="G132" s="7">
        <v>87.42</v>
      </c>
      <c r="H132" s="7"/>
      <c r="I132" s="7">
        <v>87.42</v>
      </c>
    </row>
    <row r="133" s="1" customFormat="1" ht="14" customHeight="1" spans="1:9">
      <c r="A133" s="6">
        <v>130</v>
      </c>
      <c r="B133" s="6" t="s">
        <v>35</v>
      </c>
      <c r="C133" s="6" t="str">
        <f>"张恩貌"</f>
        <v>张恩貌</v>
      </c>
      <c r="D133" s="6" t="str">
        <f>"20200212205"</f>
        <v>20200212205</v>
      </c>
      <c r="E133" s="7">
        <v>83.2</v>
      </c>
      <c r="F133" s="7">
        <v>73.23</v>
      </c>
      <c r="G133" s="7">
        <v>77.22</v>
      </c>
      <c r="H133" s="7"/>
      <c r="I133" s="7">
        <v>77.22</v>
      </c>
    </row>
    <row r="134" s="1" customFormat="1" ht="14" customHeight="1" spans="1:9">
      <c r="A134" s="6">
        <v>131</v>
      </c>
      <c r="B134" s="6" t="s">
        <v>35</v>
      </c>
      <c r="C134" s="6" t="str">
        <f>"董华山"</f>
        <v>董华山</v>
      </c>
      <c r="D134" s="6" t="str">
        <f>"20200208921"</f>
        <v>20200208921</v>
      </c>
      <c r="E134" s="7">
        <v>86.25</v>
      </c>
      <c r="F134" s="7">
        <v>71.02</v>
      </c>
      <c r="G134" s="7">
        <v>77.11</v>
      </c>
      <c r="H134" s="7"/>
      <c r="I134" s="7">
        <v>77.11</v>
      </c>
    </row>
    <row r="135" s="1" customFormat="1" ht="14" customHeight="1" spans="1:9">
      <c r="A135" s="6">
        <v>132</v>
      </c>
      <c r="B135" s="6" t="s">
        <v>35</v>
      </c>
      <c r="C135" s="6" t="str">
        <f>"李继祥"</f>
        <v>李继祥</v>
      </c>
      <c r="D135" s="6" t="str">
        <f>"20200208925"</f>
        <v>20200208925</v>
      </c>
      <c r="E135" s="7">
        <v>84.45</v>
      </c>
      <c r="F135" s="7">
        <v>66.83</v>
      </c>
      <c r="G135" s="7">
        <v>73.88</v>
      </c>
      <c r="H135" s="7"/>
      <c r="I135" s="7">
        <v>73.88</v>
      </c>
    </row>
    <row r="136" s="1" customFormat="1" ht="14" customHeight="1" spans="1:9">
      <c r="A136" s="6">
        <v>133</v>
      </c>
      <c r="B136" s="6" t="s">
        <v>36</v>
      </c>
      <c r="C136" s="6" t="str">
        <f>"周晓宇"</f>
        <v>周晓宇</v>
      </c>
      <c r="D136" s="6" t="str">
        <f>"20200206711"</f>
        <v>20200206711</v>
      </c>
      <c r="E136" s="7">
        <v>96</v>
      </c>
      <c r="F136" s="7">
        <v>107.22</v>
      </c>
      <c r="G136" s="7">
        <v>102.73</v>
      </c>
      <c r="H136" s="7"/>
      <c r="I136" s="7">
        <v>102.73</v>
      </c>
    </row>
    <row r="137" s="1" customFormat="1" ht="14" customHeight="1" spans="1:9">
      <c r="A137" s="6">
        <v>134</v>
      </c>
      <c r="B137" s="6" t="s">
        <v>36</v>
      </c>
      <c r="C137" s="6" t="str">
        <f>"郑梦梦"</f>
        <v>郑梦梦</v>
      </c>
      <c r="D137" s="6" t="str">
        <f>"20200206710"</f>
        <v>20200206710</v>
      </c>
      <c r="E137" s="7">
        <v>95.25</v>
      </c>
      <c r="F137" s="7">
        <v>103.96</v>
      </c>
      <c r="G137" s="7">
        <v>100.48</v>
      </c>
      <c r="H137" s="7"/>
      <c r="I137" s="7">
        <v>100.48</v>
      </c>
    </row>
    <row r="138" s="1" customFormat="1" ht="14" customHeight="1" spans="1:9">
      <c r="A138" s="6">
        <v>135</v>
      </c>
      <c r="B138" s="6" t="s">
        <v>36</v>
      </c>
      <c r="C138" s="6" t="str">
        <f>"李娟"</f>
        <v>李娟</v>
      </c>
      <c r="D138" s="6" t="str">
        <f>"20200206725"</f>
        <v>20200206725</v>
      </c>
      <c r="E138" s="7">
        <v>90.55</v>
      </c>
      <c r="F138" s="7">
        <v>98.01</v>
      </c>
      <c r="G138" s="7">
        <v>95.03</v>
      </c>
      <c r="H138" s="7"/>
      <c r="I138" s="7">
        <v>95.03</v>
      </c>
    </row>
    <row r="139" s="1" customFormat="1" ht="14" customHeight="1" spans="1:9">
      <c r="A139" s="6">
        <v>136</v>
      </c>
      <c r="B139" s="6" t="s">
        <v>36</v>
      </c>
      <c r="C139" s="6" t="str">
        <f>"冯杰"</f>
        <v>冯杰</v>
      </c>
      <c r="D139" s="6" t="str">
        <f>"20200206701"</f>
        <v>20200206701</v>
      </c>
      <c r="E139" s="7">
        <v>94.2</v>
      </c>
      <c r="F139" s="7">
        <v>95.43</v>
      </c>
      <c r="G139" s="7">
        <v>94.94</v>
      </c>
      <c r="H139" s="7"/>
      <c r="I139" s="7">
        <v>94.94</v>
      </c>
    </row>
    <row r="140" s="1" customFormat="1" ht="14" customHeight="1" spans="1:9">
      <c r="A140" s="6">
        <v>137</v>
      </c>
      <c r="B140" s="6" t="s">
        <v>37</v>
      </c>
      <c r="C140" s="6" t="str">
        <f>"王维佳"</f>
        <v>王维佳</v>
      </c>
      <c r="D140" s="6" t="str">
        <f>"20200206804"</f>
        <v>20200206804</v>
      </c>
      <c r="E140" s="7">
        <v>87.75</v>
      </c>
      <c r="F140" s="7">
        <v>107.58</v>
      </c>
      <c r="G140" s="7">
        <v>99.65</v>
      </c>
      <c r="H140" s="7"/>
      <c r="I140" s="7">
        <v>99.65</v>
      </c>
    </row>
    <row r="141" s="1" customFormat="1" ht="14" customHeight="1" spans="1:9">
      <c r="A141" s="6">
        <v>138</v>
      </c>
      <c r="B141" s="6" t="s">
        <v>37</v>
      </c>
      <c r="C141" s="6" t="str">
        <f>"纪冬妹"</f>
        <v>纪冬妹</v>
      </c>
      <c r="D141" s="6" t="str">
        <f>"20200206820"</f>
        <v>20200206820</v>
      </c>
      <c r="E141" s="7">
        <v>88.7</v>
      </c>
      <c r="F141" s="7">
        <v>105.95</v>
      </c>
      <c r="G141" s="7">
        <v>99.05</v>
      </c>
      <c r="H141" s="7"/>
      <c r="I141" s="7">
        <v>99.05</v>
      </c>
    </row>
    <row r="142" s="1" customFormat="1" ht="14" customHeight="1" spans="1:9">
      <c r="A142" s="6">
        <v>139</v>
      </c>
      <c r="B142" s="6" t="s">
        <v>37</v>
      </c>
      <c r="C142" s="6" t="str">
        <f>"代莉莉"</f>
        <v>代莉莉</v>
      </c>
      <c r="D142" s="6" t="str">
        <f>"20200206806"</f>
        <v>20200206806</v>
      </c>
      <c r="E142" s="7">
        <v>85.55</v>
      </c>
      <c r="F142" s="7">
        <v>102.94</v>
      </c>
      <c r="G142" s="7">
        <v>95.98</v>
      </c>
      <c r="H142" s="7"/>
      <c r="I142" s="7">
        <v>95.98</v>
      </c>
    </row>
    <row r="143" s="1" customFormat="1" ht="14" customHeight="1" spans="1:9">
      <c r="A143" s="6">
        <v>140</v>
      </c>
      <c r="B143" s="6" t="s">
        <v>37</v>
      </c>
      <c r="C143" s="6" t="str">
        <f>"殷杰"</f>
        <v>殷杰</v>
      </c>
      <c r="D143" s="6" t="str">
        <f>"20200206817"</f>
        <v>20200206817</v>
      </c>
      <c r="E143" s="7">
        <v>94.35</v>
      </c>
      <c r="F143" s="7">
        <v>96.74</v>
      </c>
      <c r="G143" s="7">
        <v>95.78</v>
      </c>
      <c r="H143" s="7"/>
      <c r="I143" s="7">
        <v>95.78</v>
      </c>
    </row>
    <row r="144" s="1" customFormat="1" ht="14" customHeight="1" spans="1:9">
      <c r="A144" s="6">
        <v>141</v>
      </c>
      <c r="B144" s="6" t="s">
        <v>38</v>
      </c>
      <c r="C144" s="6" t="str">
        <f>"俞杰"</f>
        <v>俞杰</v>
      </c>
      <c r="D144" s="6" t="str">
        <f>"20200211823"</f>
        <v>20200211823</v>
      </c>
      <c r="E144" s="7">
        <v>100.65</v>
      </c>
      <c r="F144" s="7">
        <v>98.3</v>
      </c>
      <c r="G144" s="7">
        <v>99.24</v>
      </c>
      <c r="H144" s="7"/>
      <c r="I144" s="7">
        <v>99.24</v>
      </c>
    </row>
    <row r="145" s="1" customFormat="1" ht="14" customHeight="1" spans="1:9">
      <c r="A145" s="6">
        <v>142</v>
      </c>
      <c r="B145" s="6" t="s">
        <v>38</v>
      </c>
      <c r="C145" s="6" t="str">
        <f>"张圆圆"</f>
        <v>张圆圆</v>
      </c>
      <c r="D145" s="6" t="str">
        <f>"20200207823"</f>
        <v>20200207823</v>
      </c>
      <c r="E145" s="7">
        <v>96.8</v>
      </c>
      <c r="F145" s="7">
        <v>99.2</v>
      </c>
      <c r="G145" s="7">
        <v>98.24</v>
      </c>
      <c r="H145" s="7"/>
      <c r="I145" s="7">
        <v>98.24</v>
      </c>
    </row>
    <row r="146" s="1" customFormat="1" ht="14" customHeight="1" spans="1:9">
      <c r="A146" s="6">
        <v>143</v>
      </c>
      <c r="B146" s="6" t="s">
        <v>38</v>
      </c>
      <c r="C146" s="6" t="str">
        <f>"李皖晋"</f>
        <v>李皖晋</v>
      </c>
      <c r="D146" s="6" t="str">
        <f>"20200211803"</f>
        <v>20200211803</v>
      </c>
      <c r="E146" s="7">
        <v>88.7</v>
      </c>
      <c r="F146" s="7">
        <v>99.2</v>
      </c>
      <c r="G146" s="7">
        <v>95</v>
      </c>
      <c r="H146" s="7"/>
      <c r="I146" s="7">
        <v>95</v>
      </c>
    </row>
    <row r="147" s="1" customFormat="1" ht="14" customHeight="1" spans="1:9">
      <c r="A147" s="6">
        <v>144</v>
      </c>
      <c r="B147" s="6" t="s">
        <v>38</v>
      </c>
      <c r="C147" s="6" t="str">
        <f>"张金梅"</f>
        <v>张金梅</v>
      </c>
      <c r="D147" s="6" t="str">
        <f>"20200207807"</f>
        <v>20200207807</v>
      </c>
      <c r="E147" s="7">
        <v>92.35</v>
      </c>
      <c r="F147" s="7">
        <v>96.52</v>
      </c>
      <c r="G147" s="7">
        <v>94.85</v>
      </c>
      <c r="H147" s="7"/>
      <c r="I147" s="7">
        <v>94.85</v>
      </c>
    </row>
    <row r="148" s="1" customFormat="1" ht="14" customHeight="1" spans="1:9">
      <c r="A148" s="6">
        <v>145</v>
      </c>
      <c r="B148" s="6" t="s">
        <v>38</v>
      </c>
      <c r="C148" s="6" t="str">
        <f>"李静"</f>
        <v>李静</v>
      </c>
      <c r="D148" s="6" t="str">
        <f>"20200211822"</f>
        <v>20200211822</v>
      </c>
      <c r="E148" s="7">
        <v>87.05</v>
      </c>
      <c r="F148" s="7">
        <v>93.84</v>
      </c>
      <c r="G148" s="7">
        <v>91.12</v>
      </c>
      <c r="H148" s="7"/>
      <c r="I148" s="7">
        <v>91.12</v>
      </c>
    </row>
    <row r="149" s="1" customFormat="1" ht="14" customHeight="1" spans="1:9">
      <c r="A149" s="6">
        <v>146</v>
      </c>
      <c r="B149" s="6" t="s">
        <v>38</v>
      </c>
      <c r="C149" s="6" t="str">
        <f>"王梦"</f>
        <v>王梦</v>
      </c>
      <c r="D149" s="6" t="str">
        <f>"20200211809"</f>
        <v>20200211809</v>
      </c>
      <c r="E149" s="7">
        <v>78.5</v>
      </c>
      <c r="F149" s="7">
        <v>96.1</v>
      </c>
      <c r="G149" s="7">
        <v>89.06</v>
      </c>
      <c r="H149" s="7"/>
      <c r="I149" s="7">
        <v>89.06</v>
      </c>
    </row>
    <row r="150" s="1" customFormat="1" ht="14" customHeight="1" spans="1:9">
      <c r="A150" s="6">
        <v>147</v>
      </c>
      <c r="B150" s="6" t="s">
        <v>38</v>
      </c>
      <c r="C150" s="6" t="str">
        <f>"孙明星"</f>
        <v>孙明星</v>
      </c>
      <c r="D150" s="6" t="str">
        <f>"20200207816"</f>
        <v>20200207816</v>
      </c>
      <c r="E150" s="7">
        <v>79.35</v>
      </c>
      <c r="F150" s="7">
        <v>92.86</v>
      </c>
      <c r="G150" s="7">
        <v>87.46</v>
      </c>
      <c r="H150" s="7"/>
      <c r="I150" s="7">
        <v>87.46</v>
      </c>
    </row>
    <row r="151" s="1" customFormat="1" ht="14" customHeight="1" spans="1:9">
      <c r="A151" s="6">
        <v>148</v>
      </c>
      <c r="B151" s="6" t="s">
        <v>38</v>
      </c>
      <c r="C151" s="6" t="str">
        <f>"牛明茹"</f>
        <v>牛明茹</v>
      </c>
      <c r="D151" s="6" t="str">
        <f>"20200211807"</f>
        <v>20200211807</v>
      </c>
      <c r="E151" s="7">
        <v>72.1</v>
      </c>
      <c r="F151" s="7">
        <v>97.6</v>
      </c>
      <c r="G151" s="7">
        <v>87.4</v>
      </c>
      <c r="H151" s="7"/>
      <c r="I151" s="7">
        <v>87.4</v>
      </c>
    </row>
    <row r="152" s="1" customFormat="1" ht="14" customHeight="1" spans="1:9">
      <c r="A152" s="6">
        <v>149</v>
      </c>
      <c r="B152" s="6" t="s">
        <v>39</v>
      </c>
      <c r="C152" s="6" t="str">
        <f>"卜继玲"</f>
        <v>卜继玲</v>
      </c>
      <c r="D152" s="6" t="str">
        <f>"20200211808"</f>
        <v>20200211808</v>
      </c>
      <c r="E152" s="7">
        <v>93.35</v>
      </c>
      <c r="F152" s="7">
        <v>104.8</v>
      </c>
      <c r="G152" s="7">
        <v>100.22</v>
      </c>
      <c r="H152" s="7"/>
      <c r="I152" s="7">
        <v>100.22</v>
      </c>
    </row>
    <row r="153" s="1" customFormat="1" ht="14" customHeight="1" spans="1:9">
      <c r="A153" s="6">
        <v>150</v>
      </c>
      <c r="B153" s="6" t="s">
        <v>39</v>
      </c>
      <c r="C153" s="6" t="str">
        <f>"程亚娟"</f>
        <v>程亚娟</v>
      </c>
      <c r="D153" s="6" t="str">
        <f>"20200211814"</f>
        <v>20200211814</v>
      </c>
      <c r="E153" s="7">
        <v>99.8</v>
      </c>
      <c r="F153" s="7">
        <v>97.16</v>
      </c>
      <c r="G153" s="7">
        <v>98.22</v>
      </c>
      <c r="H153" s="7"/>
      <c r="I153" s="7">
        <v>98.22</v>
      </c>
    </row>
    <row r="154" s="1" customFormat="1" ht="14" customHeight="1" spans="1:9">
      <c r="A154" s="6">
        <v>151</v>
      </c>
      <c r="B154" s="6" t="s">
        <v>39</v>
      </c>
      <c r="C154" s="6" t="str">
        <f>"王美侠"</f>
        <v>王美侠</v>
      </c>
      <c r="D154" s="6" t="str">
        <f>"20200207817"</f>
        <v>20200207817</v>
      </c>
      <c r="E154" s="7">
        <v>92.7</v>
      </c>
      <c r="F154" s="7">
        <v>98.62</v>
      </c>
      <c r="G154" s="7">
        <v>96.25</v>
      </c>
      <c r="H154" s="7"/>
      <c r="I154" s="7">
        <v>96.25</v>
      </c>
    </row>
    <row r="155" s="1" customFormat="1" ht="14" customHeight="1" spans="1:9">
      <c r="A155" s="6">
        <v>152</v>
      </c>
      <c r="B155" s="6" t="s">
        <v>39</v>
      </c>
      <c r="C155" s="6" t="str">
        <f>"杨玲"</f>
        <v>杨玲</v>
      </c>
      <c r="D155" s="6" t="str">
        <f>"20200211813"</f>
        <v>20200211813</v>
      </c>
      <c r="E155" s="7">
        <v>92.2</v>
      </c>
      <c r="F155" s="7">
        <v>98.28</v>
      </c>
      <c r="G155" s="7">
        <v>95.85</v>
      </c>
      <c r="H155" s="7"/>
      <c r="I155" s="7">
        <v>95.85</v>
      </c>
    </row>
    <row r="156" s="1" customFormat="1" ht="14" customHeight="1" spans="1:9">
      <c r="A156" s="6">
        <v>153</v>
      </c>
      <c r="B156" s="6" t="s">
        <v>39</v>
      </c>
      <c r="C156" s="6" t="str">
        <f>"李欣芳"</f>
        <v>李欣芳</v>
      </c>
      <c r="D156" s="6" t="str">
        <f>"20200207806"</f>
        <v>20200207806</v>
      </c>
      <c r="E156" s="7">
        <v>85.05</v>
      </c>
      <c r="F156" s="7">
        <v>99.94</v>
      </c>
      <c r="G156" s="7">
        <v>93.98</v>
      </c>
      <c r="H156" s="7"/>
      <c r="I156" s="7">
        <v>93.98</v>
      </c>
    </row>
    <row r="157" s="1" customFormat="1" ht="14" customHeight="1" spans="1:9">
      <c r="A157" s="6">
        <v>154</v>
      </c>
      <c r="B157" s="6" t="s">
        <v>39</v>
      </c>
      <c r="C157" s="6" t="str">
        <f>"许梦晴"</f>
        <v>许梦晴</v>
      </c>
      <c r="D157" s="6" t="str">
        <f>"20200211819"</f>
        <v>20200211819</v>
      </c>
      <c r="E157" s="7">
        <v>88.5</v>
      </c>
      <c r="F157" s="7">
        <v>96.66</v>
      </c>
      <c r="G157" s="7">
        <v>93.4</v>
      </c>
      <c r="H157" s="7"/>
      <c r="I157" s="7">
        <v>93.4</v>
      </c>
    </row>
    <row r="158" s="1" customFormat="1" ht="14" customHeight="1" spans="1:9">
      <c r="A158" s="6">
        <v>155</v>
      </c>
      <c r="B158" s="6" t="s">
        <v>39</v>
      </c>
      <c r="C158" s="6" t="str">
        <f>"王月儿"</f>
        <v>王月儿</v>
      </c>
      <c r="D158" s="6" t="str">
        <f>"20200207809"</f>
        <v>20200207809</v>
      </c>
      <c r="E158" s="7">
        <v>83.25</v>
      </c>
      <c r="F158" s="7">
        <v>99.66</v>
      </c>
      <c r="G158" s="7">
        <v>93.1</v>
      </c>
      <c r="H158" s="7"/>
      <c r="I158" s="7">
        <v>93.1</v>
      </c>
    </row>
    <row r="159" s="1" customFormat="1" ht="14" customHeight="1" spans="1:9">
      <c r="A159" s="6">
        <v>156</v>
      </c>
      <c r="B159" s="6" t="s">
        <v>39</v>
      </c>
      <c r="C159" s="6" t="str">
        <f>"周建"</f>
        <v>周建</v>
      </c>
      <c r="D159" s="6" t="str">
        <f>"20200207810"</f>
        <v>20200207810</v>
      </c>
      <c r="E159" s="7">
        <v>77.85</v>
      </c>
      <c r="F159" s="7">
        <v>102.12</v>
      </c>
      <c r="G159" s="7">
        <v>92.41</v>
      </c>
      <c r="H159" s="7"/>
      <c r="I159" s="7">
        <v>92.41</v>
      </c>
    </row>
    <row r="160" s="1" customFormat="1" ht="14" customHeight="1" spans="1:9">
      <c r="A160" s="6">
        <v>157</v>
      </c>
      <c r="B160" s="6" t="s">
        <v>40</v>
      </c>
      <c r="C160" s="6" t="str">
        <f>"王雅茹"</f>
        <v>王雅茹</v>
      </c>
      <c r="D160" s="6" t="str">
        <f>"20200209018"</f>
        <v>20200209018</v>
      </c>
      <c r="E160" s="7">
        <v>91.8</v>
      </c>
      <c r="F160" s="7">
        <v>99.98</v>
      </c>
      <c r="G160" s="7">
        <v>96.71</v>
      </c>
      <c r="H160" s="7"/>
      <c r="I160" s="7">
        <v>96.71</v>
      </c>
    </row>
    <row r="161" s="1" customFormat="1" ht="14" customHeight="1" spans="1:9">
      <c r="A161" s="6">
        <v>158</v>
      </c>
      <c r="B161" s="6" t="s">
        <v>40</v>
      </c>
      <c r="C161" s="6" t="str">
        <f>"陈家铭"</f>
        <v>陈家铭</v>
      </c>
      <c r="D161" s="6" t="str">
        <f>"20200209017"</f>
        <v>20200209017</v>
      </c>
      <c r="E161" s="7">
        <v>93.3</v>
      </c>
      <c r="F161" s="7">
        <v>92.7</v>
      </c>
      <c r="G161" s="7">
        <v>92.94</v>
      </c>
      <c r="H161" s="7"/>
      <c r="I161" s="7">
        <v>92.94</v>
      </c>
    </row>
    <row r="162" s="1" customFormat="1" ht="14" customHeight="1" spans="1:9">
      <c r="A162" s="6">
        <v>159</v>
      </c>
      <c r="B162" s="6" t="s">
        <v>40</v>
      </c>
      <c r="C162" s="6" t="str">
        <f>"马芬芬"</f>
        <v>马芬芬</v>
      </c>
      <c r="D162" s="6" t="str">
        <f>"20200212115"</f>
        <v>20200212115</v>
      </c>
      <c r="E162" s="7">
        <v>94.95</v>
      </c>
      <c r="F162" s="7">
        <v>91.32</v>
      </c>
      <c r="G162" s="7">
        <v>92.77</v>
      </c>
      <c r="H162" s="7"/>
      <c r="I162" s="7">
        <v>92.77</v>
      </c>
    </row>
    <row r="163" s="1" customFormat="1" ht="14" customHeight="1" spans="1:9">
      <c r="A163" s="6">
        <v>160</v>
      </c>
      <c r="B163" s="6" t="s">
        <v>40</v>
      </c>
      <c r="C163" s="6" t="str">
        <f>"孙子骁"</f>
        <v>孙子骁</v>
      </c>
      <c r="D163" s="6" t="str">
        <f>"20200212105"</f>
        <v>20200212105</v>
      </c>
      <c r="E163" s="7">
        <v>74.45</v>
      </c>
      <c r="F163" s="7">
        <v>104.08</v>
      </c>
      <c r="G163" s="7">
        <v>92.23</v>
      </c>
      <c r="H163" s="7"/>
      <c r="I163" s="7">
        <v>92.23</v>
      </c>
    </row>
    <row r="164" s="1" customFormat="1" ht="14" customHeight="1" spans="1:9">
      <c r="A164" s="6">
        <v>161</v>
      </c>
      <c r="B164" s="6" t="s">
        <v>41</v>
      </c>
      <c r="C164" s="6" t="str">
        <f>"汪红梅"</f>
        <v>汪红梅</v>
      </c>
      <c r="D164" s="6" t="str">
        <f>"20200209019"</f>
        <v>20200209019</v>
      </c>
      <c r="E164" s="7">
        <v>100</v>
      </c>
      <c r="F164" s="7">
        <v>98.68</v>
      </c>
      <c r="G164" s="7">
        <v>99.21</v>
      </c>
      <c r="H164" s="7"/>
      <c r="I164" s="7">
        <v>99.21</v>
      </c>
    </row>
    <row r="165" s="1" customFormat="1" ht="14" customHeight="1" spans="1:9">
      <c r="A165" s="6">
        <v>162</v>
      </c>
      <c r="B165" s="6" t="s">
        <v>41</v>
      </c>
      <c r="C165" s="6" t="str">
        <f>"姚艳"</f>
        <v>姚艳</v>
      </c>
      <c r="D165" s="6" t="str">
        <f>"20200212113"</f>
        <v>20200212113</v>
      </c>
      <c r="E165" s="7">
        <v>97.45</v>
      </c>
      <c r="F165" s="7">
        <v>94.16</v>
      </c>
      <c r="G165" s="7">
        <v>95.48</v>
      </c>
      <c r="H165" s="7"/>
      <c r="I165" s="7">
        <v>95.48</v>
      </c>
    </row>
    <row r="166" s="1" customFormat="1" ht="14" customHeight="1" spans="1:9">
      <c r="A166" s="6">
        <v>163</v>
      </c>
      <c r="B166" s="6" t="s">
        <v>41</v>
      </c>
      <c r="C166" s="6" t="str">
        <f>"路杨"</f>
        <v>路杨</v>
      </c>
      <c r="D166" s="6" t="str">
        <f>"20200209003"</f>
        <v>20200209003</v>
      </c>
      <c r="E166" s="7">
        <v>89.65</v>
      </c>
      <c r="F166" s="7">
        <v>98.96</v>
      </c>
      <c r="G166" s="7">
        <v>95.24</v>
      </c>
      <c r="H166" s="7"/>
      <c r="I166" s="7">
        <v>95.24</v>
      </c>
    </row>
    <row r="167" s="1" customFormat="1" ht="14" customHeight="1" spans="1:9">
      <c r="A167" s="6">
        <v>164</v>
      </c>
      <c r="B167" s="6" t="s">
        <v>41</v>
      </c>
      <c r="C167" s="6" t="str">
        <f>"化明园"</f>
        <v>化明园</v>
      </c>
      <c r="D167" s="6" t="str">
        <f>"20200209024"</f>
        <v>20200209024</v>
      </c>
      <c r="E167" s="7">
        <v>82.25</v>
      </c>
      <c r="F167" s="7">
        <v>102</v>
      </c>
      <c r="G167" s="7">
        <v>94.1</v>
      </c>
      <c r="H167" s="7"/>
      <c r="I167" s="7">
        <v>94.1</v>
      </c>
    </row>
    <row r="168" s="1" customFormat="1" ht="14" customHeight="1" spans="1:9">
      <c r="A168" s="6">
        <v>165</v>
      </c>
      <c r="B168" s="6" t="s">
        <v>42</v>
      </c>
      <c r="C168" s="6" t="str">
        <f>"刘瑾玉"</f>
        <v>刘瑾玉</v>
      </c>
      <c r="D168" s="6" t="str">
        <f>"20200212309"</f>
        <v>20200212309</v>
      </c>
      <c r="E168" s="7">
        <v>93.1</v>
      </c>
      <c r="F168" s="7">
        <v>95.68</v>
      </c>
      <c r="G168" s="7">
        <v>94.65</v>
      </c>
      <c r="H168" s="7"/>
      <c r="I168" s="7">
        <v>94.65</v>
      </c>
    </row>
    <row r="169" s="1" customFormat="1" ht="14" customHeight="1" spans="1:9">
      <c r="A169" s="6">
        <v>166</v>
      </c>
      <c r="B169" s="6" t="s">
        <v>42</v>
      </c>
      <c r="C169" s="6" t="str">
        <f>"孙子骥"</f>
        <v>孙子骥</v>
      </c>
      <c r="D169" s="6" t="str">
        <f>"20200212326"</f>
        <v>20200212326</v>
      </c>
      <c r="E169" s="7">
        <v>82.7</v>
      </c>
      <c r="F169" s="7">
        <v>98.18</v>
      </c>
      <c r="G169" s="7">
        <v>91.99</v>
      </c>
      <c r="H169" s="7"/>
      <c r="I169" s="7">
        <v>91.99</v>
      </c>
    </row>
    <row r="170" s="1" customFormat="1" ht="14" customHeight="1" spans="1:9">
      <c r="A170" s="6">
        <v>167</v>
      </c>
      <c r="B170" s="6" t="s">
        <v>42</v>
      </c>
      <c r="C170" s="6" t="str">
        <f>"黄荣"</f>
        <v>黄荣</v>
      </c>
      <c r="D170" s="6" t="str">
        <f>"20200212308"</f>
        <v>20200212308</v>
      </c>
      <c r="E170" s="7">
        <v>83.35</v>
      </c>
      <c r="F170" s="7">
        <v>92.1</v>
      </c>
      <c r="G170" s="7">
        <v>88.6</v>
      </c>
      <c r="H170" s="7"/>
      <c r="I170" s="7">
        <v>88.6</v>
      </c>
    </row>
    <row r="171" s="1" customFormat="1" ht="14" customHeight="1" spans="1:9">
      <c r="A171" s="6">
        <v>168</v>
      </c>
      <c r="B171" s="6" t="s">
        <v>42</v>
      </c>
      <c r="C171" s="6" t="str">
        <f>"张玉良"</f>
        <v>张玉良</v>
      </c>
      <c r="D171" s="6" t="str">
        <f>"20200212320"</f>
        <v>20200212320</v>
      </c>
      <c r="E171" s="7">
        <v>81.3</v>
      </c>
      <c r="F171" s="7">
        <v>91.18</v>
      </c>
      <c r="G171" s="7">
        <v>87.23</v>
      </c>
      <c r="H171" s="7"/>
      <c r="I171" s="7">
        <v>87.23</v>
      </c>
    </row>
    <row r="172" s="1" customFormat="1" ht="14" customHeight="1" spans="1:9">
      <c r="A172" s="6">
        <v>169</v>
      </c>
      <c r="B172" s="6" t="s">
        <v>43</v>
      </c>
      <c r="C172" s="6" t="str">
        <f>"秦念"</f>
        <v>秦念</v>
      </c>
      <c r="D172" s="6" t="str">
        <f>"20200212322"</f>
        <v>20200212322</v>
      </c>
      <c r="E172" s="7">
        <v>90.1</v>
      </c>
      <c r="F172" s="7">
        <v>104.06</v>
      </c>
      <c r="G172" s="7">
        <v>98.48</v>
      </c>
      <c r="H172" s="7"/>
      <c r="I172" s="7">
        <v>98.48</v>
      </c>
    </row>
    <row r="173" s="1" customFormat="1" ht="14" customHeight="1" spans="1:9">
      <c r="A173" s="6">
        <v>170</v>
      </c>
      <c r="B173" s="6" t="s">
        <v>43</v>
      </c>
      <c r="C173" s="6" t="str">
        <f>"王俊"</f>
        <v>王俊</v>
      </c>
      <c r="D173" s="6" t="str">
        <f>"20200212319"</f>
        <v>20200212319</v>
      </c>
      <c r="E173" s="7">
        <v>76.2</v>
      </c>
      <c r="F173" s="7">
        <v>109.44</v>
      </c>
      <c r="G173" s="7">
        <v>96.14</v>
      </c>
      <c r="H173" s="7"/>
      <c r="I173" s="7">
        <v>96.14</v>
      </c>
    </row>
    <row r="174" s="1" customFormat="1" ht="14" customHeight="1" spans="1:9">
      <c r="A174" s="6">
        <v>171</v>
      </c>
      <c r="B174" s="6" t="s">
        <v>43</v>
      </c>
      <c r="C174" s="6" t="str">
        <f>"李辛未"</f>
        <v>李辛未</v>
      </c>
      <c r="D174" s="6" t="str">
        <f>"20200212317"</f>
        <v>20200212317</v>
      </c>
      <c r="E174" s="7">
        <v>88.75</v>
      </c>
      <c r="F174" s="7">
        <v>98.5</v>
      </c>
      <c r="G174" s="7">
        <v>94.6</v>
      </c>
      <c r="H174" s="7"/>
      <c r="I174" s="7">
        <v>94.6</v>
      </c>
    </row>
    <row r="175" s="1" customFormat="1" ht="14" customHeight="1" spans="1:9">
      <c r="A175" s="6">
        <v>172</v>
      </c>
      <c r="B175" s="6" t="s">
        <v>43</v>
      </c>
      <c r="C175" s="6" t="str">
        <f>"王佳颖"</f>
        <v>王佳颖</v>
      </c>
      <c r="D175" s="6" t="str">
        <f>"20200212324"</f>
        <v>20200212324</v>
      </c>
      <c r="E175" s="7">
        <v>86.05</v>
      </c>
      <c r="F175" s="7">
        <v>93.02</v>
      </c>
      <c r="G175" s="7">
        <v>90.23</v>
      </c>
      <c r="H175" s="7"/>
      <c r="I175" s="7">
        <v>90.23</v>
      </c>
    </row>
    <row r="176" s="1" customFormat="1" ht="14" customHeight="1" spans="1:9">
      <c r="A176" s="6">
        <v>173</v>
      </c>
      <c r="B176" s="6" t="s">
        <v>44</v>
      </c>
      <c r="C176" s="6" t="str">
        <f>"李梦晨"</f>
        <v>李梦晨</v>
      </c>
      <c r="D176" s="6" t="str">
        <f>"20200209320"</f>
        <v>20200209320</v>
      </c>
      <c r="E176" s="7">
        <v>95</v>
      </c>
      <c r="F176" s="7">
        <v>95.71</v>
      </c>
      <c r="G176" s="7">
        <v>95.43</v>
      </c>
      <c r="H176" s="7"/>
      <c r="I176" s="7">
        <v>95.43</v>
      </c>
    </row>
    <row r="177" s="1" customFormat="1" ht="14" customHeight="1" spans="1:9">
      <c r="A177" s="6">
        <v>174</v>
      </c>
      <c r="B177" s="6" t="s">
        <v>44</v>
      </c>
      <c r="C177" s="6" t="str">
        <f>"李新悦"</f>
        <v>李新悦</v>
      </c>
      <c r="D177" s="6" t="str">
        <f>"20200209317"</f>
        <v>20200209317</v>
      </c>
      <c r="E177" s="7">
        <v>83.15</v>
      </c>
      <c r="F177" s="7">
        <v>93.04</v>
      </c>
      <c r="G177" s="7">
        <v>89.08</v>
      </c>
      <c r="H177" s="7"/>
      <c r="I177" s="7">
        <v>89.08</v>
      </c>
    </row>
    <row r="178" s="1" customFormat="1" ht="14" customHeight="1" spans="1:9">
      <c r="A178" s="6">
        <v>175</v>
      </c>
      <c r="B178" s="6" t="s">
        <v>44</v>
      </c>
      <c r="C178" s="6" t="str">
        <f>"李倩"</f>
        <v>李倩</v>
      </c>
      <c r="D178" s="6" t="str">
        <f>"20200209328"</f>
        <v>20200209328</v>
      </c>
      <c r="E178" s="7">
        <v>87.35</v>
      </c>
      <c r="F178" s="7">
        <v>88.49</v>
      </c>
      <c r="G178" s="7">
        <v>88.03</v>
      </c>
      <c r="H178" s="7"/>
      <c r="I178" s="7">
        <v>88.03</v>
      </c>
    </row>
    <row r="179" s="1" customFormat="1" ht="14" customHeight="1" spans="1:9">
      <c r="A179" s="6">
        <v>176</v>
      </c>
      <c r="B179" s="6" t="s">
        <v>44</v>
      </c>
      <c r="C179" s="6" t="str">
        <f>"刘云"</f>
        <v>刘云</v>
      </c>
      <c r="D179" s="6" t="str">
        <f>"20200209329"</f>
        <v>20200209329</v>
      </c>
      <c r="E179" s="7">
        <v>89.8</v>
      </c>
      <c r="F179" s="7">
        <v>86.34</v>
      </c>
      <c r="G179" s="7">
        <v>87.72</v>
      </c>
      <c r="H179" s="7"/>
      <c r="I179" s="7">
        <v>87.72</v>
      </c>
    </row>
    <row r="180" s="1" customFormat="1" ht="14" customHeight="1" spans="1:9">
      <c r="A180" s="6">
        <v>177</v>
      </c>
      <c r="B180" s="6" t="s">
        <v>45</v>
      </c>
      <c r="C180" s="6" t="str">
        <f>"朱雨露"</f>
        <v>朱雨露</v>
      </c>
      <c r="D180" s="6" t="str">
        <f>"20200209308"</f>
        <v>20200209308</v>
      </c>
      <c r="E180" s="7">
        <v>88</v>
      </c>
      <c r="F180" s="7">
        <v>85.05</v>
      </c>
      <c r="G180" s="7">
        <v>86.23</v>
      </c>
      <c r="H180" s="7"/>
      <c r="I180" s="7">
        <v>86.23</v>
      </c>
    </row>
    <row r="181" s="1" customFormat="1" ht="14" customHeight="1" spans="1:9">
      <c r="A181" s="6">
        <v>178</v>
      </c>
      <c r="B181" s="6" t="s">
        <v>45</v>
      </c>
      <c r="C181" s="6" t="str">
        <f>"周睿"</f>
        <v>周睿</v>
      </c>
      <c r="D181" s="6" t="str">
        <f>"20200209301"</f>
        <v>20200209301</v>
      </c>
      <c r="E181" s="7">
        <v>85.95</v>
      </c>
      <c r="F181" s="7">
        <v>77.01</v>
      </c>
      <c r="G181" s="7">
        <v>80.59</v>
      </c>
      <c r="H181" s="7"/>
      <c r="I181" s="7">
        <v>80.59</v>
      </c>
    </row>
    <row r="182" s="1" customFormat="1" ht="14" customHeight="1" spans="1:9">
      <c r="A182" s="6">
        <v>179</v>
      </c>
      <c r="B182" s="6" t="s">
        <v>45</v>
      </c>
      <c r="C182" s="6" t="str">
        <f>"张晓慧"</f>
        <v>张晓慧</v>
      </c>
      <c r="D182" s="6" t="str">
        <f>"20200209310"</f>
        <v>20200209310</v>
      </c>
      <c r="E182" s="7">
        <v>80.05</v>
      </c>
      <c r="F182" s="7">
        <v>80.79</v>
      </c>
      <c r="G182" s="7">
        <v>80.49</v>
      </c>
      <c r="H182" s="7"/>
      <c r="I182" s="7">
        <v>80.49</v>
      </c>
    </row>
    <row r="183" s="1" customFormat="1" ht="14" customHeight="1" spans="1:9">
      <c r="A183" s="6">
        <v>180</v>
      </c>
      <c r="B183" s="6" t="s">
        <v>45</v>
      </c>
      <c r="C183" s="6" t="str">
        <f>"李桃"</f>
        <v>李桃</v>
      </c>
      <c r="D183" s="6" t="str">
        <f>"20200209318"</f>
        <v>20200209318</v>
      </c>
      <c r="E183" s="7">
        <v>79.05</v>
      </c>
      <c r="F183" s="7">
        <v>80.99</v>
      </c>
      <c r="G183" s="7">
        <v>80.21</v>
      </c>
      <c r="H183" s="7"/>
      <c r="I183" s="7">
        <v>80.21</v>
      </c>
    </row>
    <row r="184" s="1" customFormat="1" ht="14" customHeight="1" spans="1:9">
      <c r="A184" s="6">
        <v>181</v>
      </c>
      <c r="B184" s="6" t="s">
        <v>46</v>
      </c>
      <c r="C184" s="6" t="str">
        <f>"狄娜"</f>
        <v>狄娜</v>
      </c>
      <c r="D184" s="6" t="str">
        <f>"20200207501"</f>
        <v>20200207501</v>
      </c>
      <c r="E184" s="7">
        <v>85.6</v>
      </c>
      <c r="F184" s="7">
        <v>93.05</v>
      </c>
      <c r="G184" s="7">
        <v>90.07</v>
      </c>
      <c r="H184" s="7"/>
      <c r="I184" s="7">
        <v>90.07</v>
      </c>
    </row>
    <row r="185" s="1" customFormat="1" ht="14" customHeight="1" spans="1:9">
      <c r="A185" s="6">
        <v>182</v>
      </c>
      <c r="B185" s="6" t="s">
        <v>46</v>
      </c>
      <c r="C185" s="6" t="str">
        <f>"王峰伟"</f>
        <v>王峰伟</v>
      </c>
      <c r="D185" s="6" t="str">
        <f>"20200207601"</f>
        <v>20200207601</v>
      </c>
      <c r="E185" s="7">
        <v>83.9</v>
      </c>
      <c r="F185" s="7">
        <v>93.26</v>
      </c>
      <c r="G185" s="7">
        <v>89.52</v>
      </c>
      <c r="H185" s="7"/>
      <c r="I185" s="7">
        <v>89.52</v>
      </c>
    </row>
    <row r="186" s="1" customFormat="1" ht="14" customHeight="1" spans="1:9">
      <c r="A186" s="6">
        <v>183</v>
      </c>
      <c r="B186" s="6" t="s">
        <v>46</v>
      </c>
      <c r="C186" s="6" t="str">
        <f>"曹鹏"</f>
        <v>曹鹏</v>
      </c>
      <c r="D186" s="6" t="str">
        <f>"20200207527"</f>
        <v>20200207527</v>
      </c>
      <c r="E186" s="7">
        <v>78.05</v>
      </c>
      <c r="F186" s="7">
        <v>93.93</v>
      </c>
      <c r="G186" s="7">
        <v>87.58</v>
      </c>
      <c r="H186" s="7"/>
      <c r="I186" s="7">
        <v>87.58</v>
      </c>
    </row>
    <row r="187" s="1" customFormat="1" ht="14" customHeight="1" spans="1:9">
      <c r="A187" s="6">
        <v>184</v>
      </c>
      <c r="B187" s="6" t="s">
        <v>46</v>
      </c>
      <c r="C187" s="6" t="str">
        <f>"陈大伟"</f>
        <v>陈大伟</v>
      </c>
      <c r="D187" s="6" t="str">
        <f>"20200207621"</f>
        <v>20200207621</v>
      </c>
      <c r="E187" s="7">
        <v>81</v>
      </c>
      <c r="F187" s="7">
        <v>91.02</v>
      </c>
      <c r="G187" s="7">
        <v>87.01</v>
      </c>
      <c r="H187" s="7"/>
      <c r="I187" s="7">
        <v>87.01</v>
      </c>
    </row>
    <row r="188" s="1" customFormat="1" ht="14" customHeight="1" spans="1:9">
      <c r="A188" s="6">
        <v>185</v>
      </c>
      <c r="B188" s="6" t="s">
        <v>47</v>
      </c>
      <c r="C188" s="6" t="str">
        <f>"肖阳"</f>
        <v>肖阳</v>
      </c>
      <c r="D188" s="6" t="str">
        <f>"20200207614"</f>
        <v>20200207614</v>
      </c>
      <c r="E188" s="7">
        <v>85.3</v>
      </c>
      <c r="F188" s="7">
        <v>99.14</v>
      </c>
      <c r="G188" s="7">
        <v>93.6</v>
      </c>
      <c r="H188" s="7"/>
      <c r="I188" s="7">
        <v>93.6</v>
      </c>
    </row>
    <row r="189" s="1" customFormat="1" ht="14" customHeight="1" spans="1:9">
      <c r="A189" s="6">
        <v>186</v>
      </c>
      <c r="B189" s="6" t="s">
        <v>47</v>
      </c>
      <c r="C189" s="6" t="str">
        <f>"徐芳"</f>
        <v>徐芳</v>
      </c>
      <c r="D189" s="6" t="str">
        <f>"20200207514"</f>
        <v>20200207514</v>
      </c>
      <c r="E189" s="7">
        <v>90.25</v>
      </c>
      <c r="F189" s="7">
        <v>88.94</v>
      </c>
      <c r="G189" s="7">
        <v>89.46</v>
      </c>
      <c r="H189" s="7"/>
      <c r="I189" s="7">
        <v>89.46</v>
      </c>
    </row>
    <row r="190" s="1" customFormat="1" ht="14" customHeight="1" spans="1:9">
      <c r="A190" s="6">
        <v>187</v>
      </c>
      <c r="B190" s="6" t="s">
        <v>47</v>
      </c>
      <c r="C190" s="6" t="str">
        <f>"张佳佳"</f>
        <v>张佳佳</v>
      </c>
      <c r="D190" s="6" t="str">
        <f>"20200207623"</f>
        <v>20200207623</v>
      </c>
      <c r="E190" s="7">
        <v>79.25</v>
      </c>
      <c r="F190" s="7">
        <v>92.5</v>
      </c>
      <c r="G190" s="7">
        <v>87.2</v>
      </c>
      <c r="H190" s="7"/>
      <c r="I190" s="7">
        <v>87.2</v>
      </c>
    </row>
    <row r="191" s="1" customFormat="1" ht="14" customHeight="1" spans="1:9">
      <c r="A191" s="6">
        <v>188</v>
      </c>
      <c r="B191" s="6" t="s">
        <v>47</v>
      </c>
      <c r="C191" s="6" t="str">
        <f>"李向阳"</f>
        <v>李向阳</v>
      </c>
      <c r="D191" s="6" t="str">
        <f>"20200207510"</f>
        <v>20200207510</v>
      </c>
      <c r="E191" s="7">
        <v>74.25</v>
      </c>
      <c r="F191" s="7">
        <v>93.46</v>
      </c>
      <c r="G191" s="7">
        <v>85.78</v>
      </c>
      <c r="H191" s="7"/>
      <c r="I191" s="7">
        <v>85.78</v>
      </c>
    </row>
    <row r="192" s="1" customFormat="1" ht="14" customHeight="1" spans="1:9">
      <c r="A192" s="6">
        <v>189</v>
      </c>
      <c r="B192" s="6" t="s">
        <v>48</v>
      </c>
      <c r="C192" s="6" t="str">
        <f>"张梦园"</f>
        <v>张梦园</v>
      </c>
      <c r="D192" s="6" t="str">
        <f>"20200207116"</f>
        <v>20200207116</v>
      </c>
      <c r="E192" s="7">
        <v>96.9</v>
      </c>
      <c r="F192" s="7">
        <v>103.6</v>
      </c>
      <c r="G192" s="7">
        <v>100.92</v>
      </c>
      <c r="H192" s="7"/>
      <c r="I192" s="7">
        <v>100.92</v>
      </c>
    </row>
    <row r="193" s="1" customFormat="1" ht="14" customHeight="1" spans="1:9">
      <c r="A193" s="6">
        <v>190</v>
      </c>
      <c r="B193" s="6" t="s">
        <v>48</v>
      </c>
      <c r="C193" s="6" t="str">
        <f>"沈小雅"</f>
        <v>沈小雅</v>
      </c>
      <c r="D193" s="6" t="str">
        <f>"20200209225"</f>
        <v>20200209225</v>
      </c>
      <c r="E193" s="7">
        <v>94.25</v>
      </c>
      <c r="F193" s="7">
        <v>103.71</v>
      </c>
      <c r="G193" s="7">
        <v>99.93</v>
      </c>
      <c r="H193" s="7"/>
      <c r="I193" s="7">
        <v>99.93</v>
      </c>
    </row>
    <row r="194" s="1" customFormat="1" ht="14" customHeight="1" spans="1:9">
      <c r="A194" s="6">
        <v>191</v>
      </c>
      <c r="B194" s="6" t="s">
        <v>48</v>
      </c>
      <c r="C194" s="6" t="str">
        <f>"潘宇"</f>
        <v>潘宇</v>
      </c>
      <c r="D194" s="6" t="str">
        <f>"20200207312"</f>
        <v>20200207312</v>
      </c>
      <c r="E194" s="7">
        <v>95.15</v>
      </c>
      <c r="F194" s="7">
        <v>101.96</v>
      </c>
      <c r="G194" s="7">
        <v>99.24</v>
      </c>
      <c r="H194" s="7"/>
      <c r="I194" s="7">
        <v>99.24</v>
      </c>
    </row>
    <row r="195" s="1" customFormat="1" ht="14" customHeight="1" spans="1:9">
      <c r="A195" s="6">
        <v>192</v>
      </c>
      <c r="B195" s="6" t="s">
        <v>48</v>
      </c>
      <c r="C195" s="6" t="str">
        <f>"石徐菲"</f>
        <v>石徐菲</v>
      </c>
      <c r="D195" s="6" t="str">
        <f>"20200207210"</f>
        <v>20200207210</v>
      </c>
      <c r="E195" s="7">
        <v>95.85</v>
      </c>
      <c r="F195" s="7">
        <v>101.46</v>
      </c>
      <c r="G195" s="7">
        <v>99.22</v>
      </c>
      <c r="H195" s="7"/>
      <c r="I195" s="7">
        <v>99.22</v>
      </c>
    </row>
    <row r="196" s="1" customFormat="1" ht="14" customHeight="1" spans="1:9">
      <c r="A196" s="6">
        <v>193</v>
      </c>
      <c r="B196" s="6" t="s">
        <v>49</v>
      </c>
      <c r="C196" s="6" t="str">
        <f>"孙美君"</f>
        <v>孙美君</v>
      </c>
      <c r="D196" s="6" t="str">
        <f>"20200207114"</f>
        <v>20200207114</v>
      </c>
      <c r="E196" s="7">
        <v>98.35</v>
      </c>
      <c r="F196" s="7">
        <v>104.83</v>
      </c>
      <c r="G196" s="7">
        <v>102.24</v>
      </c>
      <c r="H196" s="7"/>
      <c r="I196" s="7">
        <v>102.24</v>
      </c>
    </row>
    <row r="197" s="1" customFormat="1" ht="14" customHeight="1" spans="1:9">
      <c r="A197" s="6">
        <v>194</v>
      </c>
      <c r="B197" s="6" t="s">
        <v>49</v>
      </c>
      <c r="C197" s="6" t="str">
        <f>"郑晴伟"</f>
        <v>郑晴伟</v>
      </c>
      <c r="D197" s="6" t="str">
        <f>"20200207013"</f>
        <v>20200207013</v>
      </c>
      <c r="E197" s="7">
        <v>95.75</v>
      </c>
      <c r="F197" s="7">
        <v>103.31</v>
      </c>
      <c r="G197" s="7">
        <v>100.29</v>
      </c>
      <c r="H197" s="7"/>
      <c r="I197" s="7">
        <v>100.29</v>
      </c>
    </row>
    <row r="198" s="1" customFormat="1" ht="14" customHeight="1" spans="1:9">
      <c r="A198" s="6">
        <v>195</v>
      </c>
      <c r="B198" s="6" t="s">
        <v>49</v>
      </c>
      <c r="C198" s="6" t="str">
        <f>"王文丽"</f>
        <v>王文丽</v>
      </c>
      <c r="D198" s="6" t="str">
        <f>"20200207207"</f>
        <v>20200207207</v>
      </c>
      <c r="E198" s="7">
        <v>97.85</v>
      </c>
      <c r="F198" s="7">
        <v>101.86</v>
      </c>
      <c r="G198" s="7">
        <v>100.26</v>
      </c>
      <c r="H198" s="7"/>
      <c r="I198" s="7">
        <v>100.26</v>
      </c>
    </row>
    <row r="199" s="1" customFormat="1" ht="14" customHeight="1" spans="1:9">
      <c r="A199" s="6">
        <v>196</v>
      </c>
      <c r="B199" s="6" t="s">
        <v>49</v>
      </c>
      <c r="C199" s="6" t="str">
        <f>"郝泽文"</f>
        <v>郝泽文</v>
      </c>
      <c r="D199" s="6" t="str">
        <f>"20200207427"</f>
        <v>20200207427</v>
      </c>
      <c r="E199" s="7">
        <v>94.15</v>
      </c>
      <c r="F199" s="7">
        <v>102.41</v>
      </c>
      <c r="G199" s="7">
        <v>99.11</v>
      </c>
      <c r="H199" s="7"/>
      <c r="I199" s="7">
        <v>99.11</v>
      </c>
    </row>
    <row r="200" s="1" customFormat="1" ht="14" customHeight="1" spans="1:9">
      <c r="A200" s="6">
        <v>197</v>
      </c>
      <c r="B200" s="6" t="s">
        <v>50</v>
      </c>
      <c r="C200" s="6" t="str">
        <f>"张程程"</f>
        <v>张程程</v>
      </c>
      <c r="D200" s="6" t="str">
        <f>"20200304805"</f>
        <v>20200304805</v>
      </c>
      <c r="E200" s="7">
        <v>98.45</v>
      </c>
      <c r="F200" s="7">
        <v>107.56</v>
      </c>
      <c r="G200" s="7">
        <v>103.92</v>
      </c>
      <c r="H200" s="7"/>
      <c r="I200" s="7">
        <v>103.92</v>
      </c>
    </row>
    <row r="201" s="1" customFormat="1" ht="14" customHeight="1" spans="1:9">
      <c r="A201" s="6">
        <v>198</v>
      </c>
      <c r="B201" s="6" t="s">
        <v>50</v>
      </c>
      <c r="C201" s="6" t="str">
        <f>"姜瑞"</f>
        <v>姜瑞</v>
      </c>
      <c r="D201" s="6" t="str">
        <f>"20200301322"</f>
        <v>20200301322</v>
      </c>
      <c r="E201" s="7">
        <v>98.7</v>
      </c>
      <c r="F201" s="7">
        <v>103.54</v>
      </c>
      <c r="G201" s="7">
        <v>101.6</v>
      </c>
      <c r="H201" s="7"/>
      <c r="I201" s="7">
        <v>101.6</v>
      </c>
    </row>
    <row r="202" s="1" customFormat="1" ht="14" customHeight="1" spans="1:9">
      <c r="A202" s="6">
        <v>199</v>
      </c>
      <c r="B202" s="6" t="s">
        <v>50</v>
      </c>
      <c r="C202" s="6" t="str">
        <f>"秦晶晶"</f>
        <v>秦晶晶</v>
      </c>
      <c r="D202" s="6" t="str">
        <f>"20200303310"</f>
        <v>20200303310</v>
      </c>
      <c r="E202" s="7">
        <v>92.1</v>
      </c>
      <c r="F202" s="7">
        <v>107.26</v>
      </c>
      <c r="G202" s="7">
        <v>101.2</v>
      </c>
      <c r="H202" s="7"/>
      <c r="I202" s="7">
        <v>101.2</v>
      </c>
    </row>
    <row r="203" s="1" customFormat="1" ht="14" customHeight="1" spans="1:9">
      <c r="A203" s="6">
        <v>200</v>
      </c>
      <c r="B203" s="6" t="s">
        <v>50</v>
      </c>
      <c r="C203" s="6" t="str">
        <f>"刘星光"</f>
        <v>刘星光</v>
      </c>
      <c r="D203" s="6" t="str">
        <f>"20200302116"</f>
        <v>20200302116</v>
      </c>
      <c r="E203" s="7">
        <v>96.05</v>
      </c>
      <c r="F203" s="7">
        <v>103.94</v>
      </c>
      <c r="G203" s="7">
        <v>100.78</v>
      </c>
      <c r="H203" s="7"/>
      <c r="I203" s="7">
        <v>100.78</v>
      </c>
    </row>
    <row r="204" s="1" customFormat="1" ht="14" customHeight="1" spans="1:9">
      <c r="A204" s="6">
        <v>201</v>
      </c>
      <c r="B204" s="6" t="s">
        <v>50</v>
      </c>
      <c r="C204" s="6" t="str">
        <f>"张林新"</f>
        <v>张林新</v>
      </c>
      <c r="D204" s="6" t="str">
        <f>"20200300620"</f>
        <v>20200300620</v>
      </c>
      <c r="E204" s="7">
        <v>93.15</v>
      </c>
      <c r="F204" s="7">
        <v>104.66</v>
      </c>
      <c r="G204" s="7">
        <v>100.06</v>
      </c>
      <c r="H204" s="7"/>
      <c r="I204" s="7">
        <v>100.06</v>
      </c>
    </row>
    <row r="205" s="1" customFormat="1" ht="14" customHeight="1" spans="1:9">
      <c r="A205" s="6">
        <v>202</v>
      </c>
      <c r="B205" s="6" t="s">
        <v>50</v>
      </c>
      <c r="C205" s="6" t="str">
        <f>"刁洪艳"</f>
        <v>刁洪艳</v>
      </c>
      <c r="D205" s="6" t="str">
        <f>"20200303416"</f>
        <v>20200303416</v>
      </c>
      <c r="E205" s="7">
        <v>93.65</v>
      </c>
      <c r="F205" s="7">
        <v>103.89</v>
      </c>
      <c r="G205" s="7">
        <v>99.79</v>
      </c>
      <c r="H205" s="7"/>
      <c r="I205" s="7">
        <v>99.79</v>
      </c>
    </row>
    <row r="206" s="1" customFormat="1" ht="14" customHeight="1" spans="1:9">
      <c r="A206" s="6">
        <v>203</v>
      </c>
      <c r="B206" s="6" t="s">
        <v>50</v>
      </c>
      <c r="C206" s="6" t="str">
        <f>"孙婉婉"</f>
        <v>孙婉婉</v>
      </c>
      <c r="D206" s="6" t="str">
        <f>"20200301922"</f>
        <v>20200301922</v>
      </c>
      <c r="E206" s="7">
        <v>103.65</v>
      </c>
      <c r="F206" s="7">
        <v>96.72</v>
      </c>
      <c r="G206" s="7">
        <v>99.49</v>
      </c>
      <c r="H206" s="7"/>
      <c r="I206" s="7">
        <v>99.49</v>
      </c>
    </row>
    <row r="207" s="1" customFormat="1" ht="14" customHeight="1" spans="1:9">
      <c r="A207" s="6">
        <v>204</v>
      </c>
      <c r="B207" s="6" t="s">
        <v>50</v>
      </c>
      <c r="C207" s="6" t="str">
        <f>"王子"</f>
        <v>王子</v>
      </c>
      <c r="D207" s="6" t="str">
        <f>"20200301018"</f>
        <v>20200301018</v>
      </c>
      <c r="E207" s="7">
        <v>102.95</v>
      </c>
      <c r="F207" s="7">
        <v>96.38</v>
      </c>
      <c r="G207" s="7">
        <v>99.01</v>
      </c>
      <c r="H207" s="7"/>
      <c r="I207" s="7">
        <v>99.01</v>
      </c>
    </row>
    <row r="208" s="1" customFormat="1" ht="14" customHeight="1" spans="1:9">
      <c r="A208" s="6">
        <v>205</v>
      </c>
      <c r="B208" s="6" t="s">
        <v>50</v>
      </c>
      <c r="C208" s="6" t="str">
        <f>"张金花"</f>
        <v>张金花</v>
      </c>
      <c r="D208" s="6" t="str">
        <f>"20200302527"</f>
        <v>20200302527</v>
      </c>
      <c r="E208" s="7">
        <v>97.35</v>
      </c>
      <c r="F208" s="7">
        <v>100.07</v>
      </c>
      <c r="G208" s="7">
        <v>98.98</v>
      </c>
      <c r="H208" s="7"/>
      <c r="I208" s="7">
        <v>98.98</v>
      </c>
    </row>
    <row r="209" s="1" customFormat="1" ht="14" customHeight="1" spans="1:9">
      <c r="A209" s="6">
        <v>206</v>
      </c>
      <c r="B209" s="6" t="s">
        <v>50</v>
      </c>
      <c r="C209" s="6" t="str">
        <f>"刘营营"</f>
        <v>刘营营</v>
      </c>
      <c r="D209" s="6" t="str">
        <f>"20200304703"</f>
        <v>20200304703</v>
      </c>
      <c r="E209" s="7">
        <v>90.55</v>
      </c>
      <c r="F209" s="7">
        <v>104.32</v>
      </c>
      <c r="G209" s="7">
        <v>98.81</v>
      </c>
      <c r="H209" s="7"/>
      <c r="I209" s="7">
        <v>98.81</v>
      </c>
    </row>
    <row r="210" s="1" customFormat="1" ht="14" customHeight="1" spans="1:9">
      <c r="A210" s="6">
        <v>207</v>
      </c>
      <c r="B210" s="6" t="s">
        <v>50</v>
      </c>
      <c r="C210" s="6" t="str">
        <f>"徐亚丽"</f>
        <v>徐亚丽</v>
      </c>
      <c r="D210" s="6" t="str">
        <f>"20200302219"</f>
        <v>20200302219</v>
      </c>
      <c r="E210" s="7">
        <v>94.75</v>
      </c>
      <c r="F210" s="7">
        <v>101.02</v>
      </c>
      <c r="G210" s="7">
        <v>98.51</v>
      </c>
      <c r="H210" s="7"/>
      <c r="I210" s="7">
        <v>98.51</v>
      </c>
    </row>
    <row r="211" s="1" customFormat="1" ht="14" customHeight="1" spans="1:9">
      <c r="A211" s="6">
        <v>208</v>
      </c>
      <c r="B211" s="6" t="s">
        <v>50</v>
      </c>
      <c r="C211" s="6" t="str">
        <f>"孙诗悦"</f>
        <v>孙诗悦</v>
      </c>
      <c r="D211" s="6" t="str">
        <f>"20200302002"</f>
        <v>20200302002</v>
      </c>
      <c r="E211" s="7">
        <v>95.55</v>
      </c>
      <c r="F211" s="7">
        <v>100.27</v>
      </c>
      <c r="G211" s="7">
        <v>98.38</v>
      </c>
      <c r="H211" s="7"/>
      <c r="I211" s="7">
        <v>98.38</v>
      </c>
    </row>
    <row r="212" s="1" customFormat="1" ht="14" customHeight="1" spans="1:9">
      <c r="A212" s="6">
        <v>209</v>
      </c>
      <c r="B212" s="6" t="s">
        <v>50</v>
      </c>
      <c r="C212" s="6" t="str">
        <f>"陈迎香"</f>
        <v>陈迎香</v>
      </c>
      <c r="D212" s="6" t="str">
        <f>"20200301704"</f>
        <v>20200301704</v>
      </c>
      <c r="E212" s="7">
        <v>90.25</v>
      </c>
      <c r="F212" s="7">
        <v>103.59</v>
      </c>
      <c r="G212" s="7">
        <v>98.25</v>
      </c>
      <c r="H212" s="7"/>
      <c r="I212" s="7">
        <v>98.25</v>
      </c>
    </row>
    <row r="213" s="1" customFormat="1" ht="14" customHeight="1" spans="1:9">
      <c r="A213" s="6">
        <v>210</v>
      </c>
      <c r="B213" s="6" t="s">
        <v>50</v>
      </c>
      <c r="C213" s="6" t="str">
        <f>"朱慧"</f>
        <v>朱慧</v>
      </c>
      <c r="D213" s="6" t="str">
        <f>"20200305430"</f>
        <v>20200305430</v>
      </c>
      <c r="E213" s="7">
        <v>85.85</v>
      </c>
      <c r="F213" s="7">
        <v>106.43</v>
      </c>
      <c r="G213" s="7">
        <v>98.2</v>
      </c>
      <c r="H213" s="7"/>
      <c r="I213" s="7">
        <v>98.2</v>
      </c>
    </row>
    <row r="214" s="1" customFormat="1" ht="14" customHeight="1" spans="1:9">
      <c r="A214" s="6">
        <v>211</v>
      </c>
      <c r="B214" s="6" t="s">
        <v>50</v>
      </c>
      <c r="C214" s="6" t="str">
        <f>"刘雪晴"</f>
        <v>刘雪晴</v>
      </c>
      <c r="D214" s="6" t="str">
        <f>"20200304014"</f>
        <v>20200304014</v>
      </c>
      <c r="E214" s="7">
        <v>92.7</v>
      </c>
      <c r="F214" s="7">
        <v>101.87</v>
      </c>
      <c r="G214" s="7">
        <v>98.2</v>
      </c>
      <c r="H214" s="7"/>
      <c r="I214" s="7">
        <v>98.2</v>
      </c>
    </row>
    <row r="215" s="1" customFormat="1" ht="14" customHeight="1" spans="1:9">
      <c r="A215" s="6">
        <v>212</v>
      </c>
      <c r="B215" s="6" t="s">
        <v>50</v>
      </c>
      <c r="C215" s="6" t="str">
        <f>"李玲玲"</f>
        <v>李玲玲</v>
      </c>
      <c r="D215" s="6" t="str">
        <f>"20200305118"</f>
        <v>20200305118</v>
      </c>
      <c r="E215" s="7">
        <v>89.65</v>
      </c>
      <c r="F215" s="7">
        <v>103.74</v>
      </c>
      <c r="G215" s="7">
        <v>98.1</v>
      </c>
      <c r="H215" s="7"/>
      <c r="I215" s="7">
        <v>98.1</v>
      </c>
    </row>
    <row r="216" s="1" customFormat="1" ht="14" customHeight="1" spans="1:9">
      <c r="A216" s="6">
        <v>213</v>
      </c>
      <c r="B216" s="6" t="s">
        <v>50</v>
      </c>
      <c r="C216" s="6" t="str">
        <f>"李猛"</f>
        <v>李猛</v>
      </c>
      <c r="D216" s="6" t="str">
        <f>"20200303520"</f>
        <v>20200303520</v>
      </c>
      <c r="E216" s="7">
        <v>94.5</v>
      </c>
      <c r="F216" s="7">
        <v>100.45</v>
      </c>
      <c r="G216" s="7">
        <v>98.07</v>
      </c>
      <c r="H216" s="7"/>
      <c r="I216" s="7">
        <v>98.07</v>
      </c>
    </row>
    <row r="217" s="1" customFormat="1" ht="14" customHeight="1" spans="1:9">
      <c r="A217" s="6">
        <v>214</v>
      </c>
      <c r="B217" s="6" t="s">
        <v>50</v>
      </c>
      <c r="C217" s="6" t="str">
        <f>"李浩"</f>
        <v>李浩</v>
      </c>
      <c r="D217" s="6" t="str">
        <f>"20200300221"</f>
        <v>20200300221</v>
      </c>
      <c r="E217" s="7">
        <v>89.8</v>
      </c>
      <c r="F217" s="7">
        <v>103.54</v>
      </c>
      <c r="G217" s="7">
        <v>98.04</v>
      </c>
      <c r="H217" s="7"/>
      <c r="I217" s="7">
        <v>98.04</v>
      </c>
    </row>
    <row r="218" s="1" customFormat="1" ht="14" customHeight="1" spans="1:9">
      <c r="A218" s="6">
        <v>215</v>
      </c>
      <c r="B218" s="6" t="s">
        <v>51</v>
      </c>
      <c r="C218" s="6" t="str">
        <f>"谭康"</f>
        <v>谭康</v>
      </c>
      <c r="D218" s="6" t="str">
        <f>"20200305520"</f>
        <v>20200305520</v>
      </c>
      <c r="E218" s="7">
        <v>103</v>
      </c>
      <c r="F218" s="7">
        <v>107.56</v>
      </c>
      <c r="G218" s="7">
        <v>105.74</v>
      </c>
      <c r="H218" s="7"/>
      <c r="I218" s="7">
        <v>105.74</v>
      </c>
    </row>
    <row r="219" s="1" customFormat="1" ht="14" customHeight="1" spans="1:9">
      <c r="A219" s="6">
        <v>216</v>
      </c>
      <c r="B219" s="6" t="s">
        <v>51</v>
      </c>
      <c r="C219" s="6" t="str">
        <f>"储家娜"</f>
        <v>储家娜</v>
      </c>
      <c r="D219" s="6" t="str">
        <f>"20200303817"</f>
        <v>20200303817</v>
      </c>
      <c r="E219" s="7">
        <v>96.3</v>
      </c>
      <c r="F219" s="7">
        <v>107.96</v>
      </c>
      <c r="G219" s="7">
        <v>103.3</v>
      </c>
      <c r="H219" s="7"/>
      <c r="I219" s="7">
        <v>103.3</v>
      </c>
    </row>
    <row r="220" s="1" customFormat="1" ht="14" customHeight="1" spans="1:9">
      <c r="A220" s="6">
        <v>217</v>
      </c>
      <c r="B220" s="6" t="s">
        <v>51</v>
      </c>
      <c r="C220" s="6" t="str">
        <f>"戴艳"</f>
        <v>戴艳</v>
      </c>
      <c r="D220" s="6" t="str">
        <f>"20200304406"</f>
        <v>20200304406</v>
      </c>
      <c r="E220" s="7">
        <v>104.25</v>
      </c>
      <c r="F220" s="7">
        <v>102.42</v>
      </c>
      <c r="G220" s="7">
        <v>103.15</v>
      </c>
      <c r="H220" s="7"/>
      <c r="I220" s="7">
        <v>103.15</v>
      </c>
    </row>
    <row r="221" s="1" customFormat="1" ht="14" customHeight="1" spans="1:9">
      <c r="A221" s="6">
        <v>218</v>
      </c>
      <c r="B221" s="6" t="s">
        <v>51</v>
      </c>
      <c r="C221" s="6" t="str">
        <f>"周媛媛"</f>
        <v>周媛媛</v>
      </c>
      <c r="D221" s="6" t="str">
        <f>"20200300413"</f>
        <v>20200300413</v>
      </c>
      <c r="E221" s="7">
        <v>105.95</v>
      </c>
      <c r="F221" s="7">
        <v>101.17</v>
      </c>
      <c r="G221" s="7">
        <v>103.08</v>
      </c>
      <c r="H221" s="7"/>
      <c r="I221" s="7">
        <v>103.08</v>
      </c>
    </row>
    <row r="222" s="1" customFormat="1" ht="14" customHeight="1" spans="1:9">
      <c r="A222" s="6">
        <v>219</v>
      </c>
      <c r="B222" s="6" t="s">
        <v>51</v>
      </c>
      <c r="C222" s="6" t="str">
        <f>"曾亚楠"</f>
        <v>曾亚楠</v>
      </c>
      <c r="D222" s="6" t="str">
        <f>"20200301015"</f>
        <v>20200301015</v>
      </c>
      <c r="E222" s="7">
        <v>101.7</v>
      </c>
      <c r="F222" s="7">
        <v>103.99</v>
      </c>
      <c r="G222" s="7">
        <v>103.07</v>
      </c>
      <c r="H222" s="7"/>
      <c r="I222" s="7">
        <v>103.07</v>
      </c>
    </row>
    <row r="223" s="1" customFormat="1" ht="14" customHeight="1" spans="1:9">
      <c r="A223" s="6">
        <v>220</v>
      </c>
      <c r="B223" s="6" t="s">
        <v>51</v>
      </c>
      <c r="C223" s="6" t="str">
        <f>"马珍珍"</f>
        <v>马珍珍</v>
      </c>
      <c r="D223" s="6" t="str">
        <f>"20200302812"</f>
        <v>20200302812</v>
      </c>
      <c r="E223" s="7">
        <v>98.1</v>
      </c>
      <c r="F223" s="7">
        <v>106.13</v>
      </c>
      <c r="G223" s="7">
        <v>102.92</v>
      </c>
      <c r="H223" s="7"/>
      <c r="I223" s="7">
        <v>102.92</v>
      </c>
    </row>
    <row r="224" s="1" customFormat="1" ht="14" customHeight="1" spans="1:9">
      <c r="A224" s="6">
        <v>221</v>
      </c>
      <c r="B224" s="6" t="s">
        <v>51</v>
      </c>
      <c r="C224" s="6" t="str">
        <f>"侯爱慈"</f>
        <v>侯爱慈</v>
      </c>
      <c r="D224" s="6" t="str">
        <f>"20200303429"</f>
        <v>20200303429</v>
      </c>
      <c r="E224" s="7">
        <v>98.45</v>
      </c>
      <c r="F224" s="7">
        <v>104.71</v>
      </c>
      <c r="G224" s="7">
        <v>102.21</v>
      </c>
      <c r="H224" s="7"/>
      <c r="I224" s="7">
        <v>102.21</v>
      </c>
    </row>
    <row r="225" s="1" customFormat="1" ht="14" customHeight="1" spans="1:9">
      <c r="A225" s="6">
        <v>222</v>
      </c>
      <c r="B225" s="6" t="s">
        <v>51</v>
      </c>
      <c r="C225" s="6" t="str">
        <f>"陈琪"</f>
        <v>陈琪</v>
      </c>
      <c r="D225" s="6" t="str">
        <f>"20200305426"</f>
        <v>20200305426</v>
      </c>
      <c r="E225" s="7">
        <v>97.6</v>
      </c>
      <c r="F225" s="7">
        <v>104.91</v>
      </c>
      <c r="G225" s="7">
        <v>101.99</v>
      </c>
      <c r="H225" s="7"/>
      <c r="I225" s="7">
        <v>101.99</v>
      </c>
    </row>
    <row r="226" s="1" customFormat="1" ht="14" customHeight="1" spans="1:9">
      <c r="A226" s="6">
        <v>223</v>
      </c>
      <c r="B226" s="6" t="s">
        <v>51</v>
      </c>
      <c r="C226" s="6" t="str">
        <f>"卢利"</f>
        <v>卢利</v>
      </c>
      <c r="D226" s="6" t="str">
        <f>"20200302802"</f>
        <v>20200302802</v>
      </c>
      <c r="E226" s="7">
        <v>93.95</v>
      </c>
      <c r="F226" s="7">
        <v>107.33</v>
      </c>
      <c r="G226" s="7">
        <v>101.98</v>
      </c>
      <c r="H226" s="7"/>
      <c r="I226" s="7">
        <v>101.98</v>
      </c>
    </row>
    <row r="227" s="1" customFormat="1" ht="14" customHeight="1" spans="1:9">
      <c r="A227" s="6">
        <v>224</v>
      </c>
      <c r="B227" s="6" t="s">
        <v>51</v>
      </c>
      <c r="C227" s="6" t="str">
        <f>"袁媛"</f>
        <v>袁媛</v>
      </c>
      <c r="D227" s="6" t="str">
        <f>"20200305616"</f>
        <v>20200305616</v>
      </c>
      <c r="E227" s="7">
        <v>98.15</v>
      </c>
      <c r="F227" s="7">
        <v>104.36</v>
      </c>
      <c r="G227" s="7">
        <v>101.88</v>
      </c>
      <c r="H227" s="7"/>
      <c r="I227" s="7">
        <v>101.88</v>
      </c>
    </row>
    <row r="228" s="1" customFormat="1" ht="14" customHeight="1" spans="1:9">
      <c r="A228" s="6">
        <v>225</v>
      </c>
      <c r="B228" s="6" t="s">
        <v>51</v>
      </c>
      <c r="C228" s="6" t="str">
        <f>"刁小娟"</f>
        <v>刁小娟</v>
      </c>
      <c r="D228" s="6" t="str">
        <f>"20200303211"</f>
        <v>20200303211</v>
      </c>
      <c r="E228" s="7">
        <v>96.1</v>
      </c>
      <c r="F228" s="7">
        <v>105.06</v>
      </c>
      <c r="G228" s="7">
        <v>101.48</v>
      </c>
      <c r="H228" s="7"/>
      <c r="I228" s="7">
        <v>101.48</v>
      </c>
    </row>
    <row r="229" s="1" customFormat="1" ht="14" customHeight="1" spans="1:9">
      <c r="A229" s="6">
        <v>226</v>
      </c>
      <c r="B229" s="6" t="s">
        <v>51</v>
      </c>
      <c r="C229" s="6" t="str">
        <f>"杨艺苑"</f>
        <v>杨艺苑</v>
      </c>
      <c r="D229" s="6" t="str">
        <f>"20200304527"</f>
        <v>20200304527</v>
      </c>
      <c r="E229" s="7">
        <v>97.85</v>
      </c>
      <c r="F229" s="7">
        <v>103.79</v>
      </c>
      <c r="G229" s="7">
        <v>101.41</v>
      </c>
      <c r="H229" s="7"/>
      <c r="I229" s="7">
        <v>101.41</v>
      </c>
    </row>
    <row r="230" s="1" customFormat="1" ht="14" customHeight="1" spans="1:9">
      <c r="A230" s="6">
        <v>227</v>
      </c>
      <c r="B230" s="6" t="s">
        <v>51</v>
      </c>
      <c r="C230" s="6" t="str">
        <f>"尹德良"</f>
        <v>尹德良</v>
      </c>
      <c r="D230" s="6" t="str">
        <f>"20200302416"</f>
        <v>20200302416</v>
      </c>
      <c r="E230" s="7">
        <v>92.55</v>
      </c>
      <c r="F230" s="7">
        <v>107.16</v>
      </c>
      <c r="G230" s="7">
        <v>101.32</v>
      </c>
      <c r="H230" s="7"/>
      <c r="I230" s="7">
        <v>101.32</v>
      </c>
    </row>
    <row r="231" s="1" customFormat="1" ht="14" customHeight="1" spans="1:9">
      <c r="A231" s="6">
        <v>228</v>
      </c>
      <c r="B231" s="6" t="s">
        <v>51</v>
      </c>
      <c r="C231" s="6" t="str">
        <f>"刁洪艳"</f>
        <v>刁洪艳</v>
      </c>
      <c r="D231" s="6" t="str">
        <f>"20200300629"</f>
        <v>20200300629</v>
      </c>
      <c r="E231" s="7">
        <v>98.05</v>
      </c>
      <c r="F231" s="7">
        <v>103.31</v>
      </c>
      <c r="G231" s="7">
        <v>101.21</v>
      </c>
      <c r="H231" s="7"/>
      <c r="I231" s="7">
        <v>101.21</v>
      </c>
    </row>
    <row r="232" s="1" customFormat="1" ht="14" customHeight="1" spans="1:9">
      <c r="A232" s="6">
        <v>229</v>
      </c>
      <c r="B232" s="6" t="s">
        <v>51</v>
      </c>
      <c r="C232" s="6" t="str">
        <f>"江洪丽"</f>
        <v>江洪丽</v>
      </c>
      <c r="D232" s="6" t="str">
        <f>"20200305212"</f>
        <v>20200305212</v>
      </c>
      <c r="E232" s="7">
        <v>93.95</v>
      </c>
      <c r="F232" s="7">
        <v>105.93</v>
      </c>
      <c r="G232" s="7">
        <v>101.14</v>
      </c>
      <c r="H232" s="7"/>
      <c r="I232" s="7">
        <v>101.14</v>
      </c>
    </row>
    <row r="233" s="1" customFormat="1" ht="14" customHeight="1" spans="1:9">
      <c r="A233" s="6">
        <v>230</v>
      </c>
      <c r="B233" s="6" t="s">
        <v>51</v>
      </c>
      <c r="C233" s="6" t="str">
        <f>"刘新红"</f>
        <v>刘新红</v>
      </c>
      <c r="D233" s="6" t="str">
        <f>"20200303603"</f>
        <v>20200303603</v>
      </c>
      <c r="E233" s="7">
        <v>95.55</v>
      </c>
      <c r="F233" s="7">
        <v>104.86</v>
      </c>
      <c r="G233" s="7">
        <v>101.14</v>
      </c>
      <c r="H233" s="7"/>
      <c r="I233" s="7">
        <v>101.14</v>
      </c>
    </row>
    <row r="234" s="1" customFormat="1" ht="14" customHeight="1" spans="1:9">
      <c r="A234" s="6">
        <v>231</v>
      </c>
      <c r="B234" s="6" t="s">
        <v>52</v>
      </c>
      <c r="C234" s="6" t="str">
        <f>"纪孟琦"</f>
        <v>纪孟琦</v>
      </c>
      <c r="D234" s="6" t="str">
        <f>"20200211322"</f>
        <v>20200211322</v>
      </c>
      <c r="E234" s="7">
        <v>98.15</v>
      </c>
      <c r="F234" s="7">
        <v>93.78</v>
      </c>
      <c r="G234" s="7">
        <v>95.53</v>
      </c>
      <c r="H234" s="7"/>
      <c r="I234" s="7">
        <v>95.53</v>
      </c>
    </row>
    <row r="235" s="1" customFormat="1" ht="14" customHeight="1" spans="1:9">
      <c r="A235" s="6">
        <v>232</v>
      </c>
      <c r="B235" s="6" t="s">
        <v>52</v>
      </c>
      <c r="C235" s="6" t="str">
        <f>"李鑫鑫"</f>
        <v>李鑫鑫</v>
      </c>
      <c r="D235" s="6" t="str">
        <f>"20200209702"</f>
        <v>20200209702</v>
      </c>
      <c r="E235" s="7">
        <v>104.8</v>
      </c>
      <c r="F235" s="7">
        <v>88.27</v>
      </c>
      <c r="G235" s="7">
        <v>94.88</v>
      </c>
      <c r="H235" s="7"/>
      <c r="I235" s="7">
        <v>94.88</v>
      </c>
    </row>
    <row r="236" s="1" customFormat="1" ht="14" customHeight="1" spans="1:9">
      <c r="A236" s="6">
        <v>233</v>
      </c>
      <c r="B236" s="6" t="s">
        <v>52</v>
      </c>
      <c r="C236" s="6" t="str">
        <f>"刘春发"</f>
        <v>刘春发</v>
      </c>
      <c r="D236" s="6" t="str">
        <f>"20200209406"</f>
        <v>20200209406</v>
      </c>
      <c r="E236" s="7">
        <v>77.05</v>
      </c>
      <c r="F236" s="7">
        <v>106.48</v>
      </c>
      <c r="G236" s="7">
        <v>94.71</v>
      </c>
      <c r="H236" s="7"/>
      <c r="I236" s="7">
        <v>94.71</v>
      </c>
    </row>
    <row r="237" s="1" customFormat="1" ht="14" customHeight="1" spans="1:9">
      <c r="A237" s="6">
        <v>234</v>
      </c>
      <c r="B237" s="6" t="s">
        <v>52</v>
      </c>
      <c r="C237" s="6" t="str">
        <f>"许赛南"</f>
        <v>许赛南</v>
      </c>
      <c r="D237" s="6" t="str">
        <f>"20200306806"</f>
        <v>20200306806</v>
      </c>
      <c r="E237" s="7">
        <v>95.65</v>
      </c>
      <c r="F237" s="7">
        <v>91.85</v>
      </c>
      <c r="G237" s="7">
        <v>93.37</v>
      </c>
      <c r="H237" s="7"/>
      <c r="I237" s="7">
        <v>93.37</v>
      </c>
    </row>
    <row r="238" s="1" customFormat="1" ht="14" customHeight="1" spans="1:9">
      <c r="A238" s="6">
        <v>235</v>
      </c>
      <c r="B238" s="6" t="s">
        <v>52</v>
      </c>
      <c r="C238" s="6" t="str">
        <f>"高洁"</f>
        <v>高洁</v>
      </c>
      <c r="D238" s="6" t="str">
        <f>"20200209603"</f>
        <v>20200209603</v>
      </c>
      <c r="E238" s="7">
        <v>90.85</v>
      </c>
      <c r="F238" s="7">
        <v>94.78</v>
      </c>
      <c r="G238" s="7">
        <v>93.21</v>
      </c>
      <c r="H238" s="7"/>
      <c r="I238" s="7">
        <v>93.21</v>
      </c>
    </row>
    <row r="239" s="1" customFormat="1" ht="14" customHeight="1" spans="1:9">
      <c r="A239" s="6">
        <v>236</v>
      </c>
      <c r="B239" s="6" t="s">
        <v>52</v>
      </c>
      <c r="C239" s="6" t="str">
        <f>"侯志强"</f>
        <v>侯志强</v>
      </c>
      <c r="D239" s="6" t="str">
        <f>"20200210803"</f>
        <v>20200210803</v>
      </c>
      <c r="E239" s="7">
        <v>98</v>
      </c>
      <c r="F239" s="7">
        <v>88.77</v>
      </c>
      <c r="G239" s="7">
        <v>92.46</v>
      </c>
      <c r="H239" s="7"/>
      <c r="I239" s="7">
        <v>92.46</v>
      </c>
    </row>
    <row r="240" s="1" customFormat="1" ht="14" customHeight="1" spans="1:9">
      <c r="A240" s="6">
        <v>237</v>
      </c>
      <c r="B240" s="6" t="s">
        <v>52</v>
      </c>
      <c r="C240" s="6" t="str">
        <f>"曹亮"</f>
        <v>曹亮</v>
      </c>
      <c r="D240" s="6" t="str">
        <f>"20200306816"</f>
        <v>20200306816</v>
      </c>
      <c r="E240" s="7">
        <v>87.35</v>
      </c>
      <c r="F240" s="7">
        <v>95.42</v>
      </c>
      <c r="G240" s="7">
        <v>92.19</v>
      </c>
      <c r="H240" s="7"/>
      <c r="I240" s="7">
        <v>92.19</v>
      </c>
    </row>
    <row r="241" s="1" customFormat="1" ht="14" customHeight="1" spans="1:9">
      <c r="A241" s="6">
        <v>238</v>
      </c>
      <c r="B241" s="6" t="s">
        <v>52</v>
      </c>
      <c r="C241" s="6" t="str">
        <f>"王玉梅"</f>
        <v>王玉梅</v>
      </c>
      <c r="D241" s="6" t="str">
        <f>"20200306018"</f>
        <v>20200306018</v>
      </c>
      <c r="E241" s="7">
        <v>95.6</v>
      </c>
      <c r="F241" s="7">
        <v>89.88</v>
      </c>
      <c r="G241" s="7">
        <v>92.17</v>
      </c>
      <c r="H241" s="7"/>
      <c r="I241" s="7">
        <v>92.17</v>
      </c>
    </row>
    <row r="242" s="1" customFormat="1" ht="14" customHeight="1" spans="1:9">
      <c r="A242" s="6">
        <v>239</v>
      </c>
      <c r="B242" s="6" t="s">
        <v>52</v>
      </c>
      <c r="C242" s="6" t="str">
        <f>"王美"</f>
        <v>王美</v>
      </c>
      <c r="D242" s="6" t="str">
        <f>"20200210206"</f>
        <v>20200210206</v>
      </c>
      <c r="E242" s="7">
        <v>99.25</v>
      </c>
      <c r="F242" s="7">
        <v>86.91</v>
      </c>
      <c r="G242" s="7">
        <v>91.85</v>
      </c>
      <c r="H242" s="7"/>
      <c r="I242" s="7">
        <v>91.85</v>
      </c>
    </row>
    <row r="243" s="1" customFormat="1" ht="14" customHeight="1" spans="1:9">
      <c r="A243" s="6">
        <v>240</v>
      </c>
      <c r="B243" s="6" t="s">
        <v>52</v>
      </c>
      <c r="C243" s="6" t="str">
        <f>"丰晨秋"</f>
        <v>丰晨秋</v>
      </c>
      <c r="D243" s="6" t="str">
        <f>"20200209818"</f>
        <v>20200209818</v>
      </c>
      <c r="E243" s="7">
        <v>98.6</v>
      </c>
      <c r="F243" s="7">
        <v>87.34</v>
      </c>
      <c r="G243" s="7">
        <v>91.84</v>
      </c>
      <c r="H243" s="7"/>
      <c r="I243" s="7">
        <v>91.84</v>
      </c>
    </row>
    <row r="244" s="1" customFormat="1" ht="14" customHeight="1" spans="1:9">
      <c r="A244" s="6">
        <v>241</v>
      </c>
      <c r="B244" s="6" t="s">
        <v>52</v>
      </c>
      <c r="C244" s="6" t="str">
        <f>"刘晔"</f>
        <v>刘晔</v>
      </c>
      <c r="D244" s="6" t="str">
        <f>"20200211405"</f>
        <v>20200211405</v>
      </c>
      <c r="E244" s="7">
        <v>95.85</v>
      </c>
      <c r="F244" s="7">
        <v>88.34</v>
      </c>
      <c r="G244" s="7">
        <v>91.34</v>
      </c>
      <c r="H244" s="7"/>
      <c r="I244" s="7">
        <v>91.34</v>
      </c>
    </row>
    <row r="245" s="1" customFormat="1" ht="14" customHeight="1" spans="1:9">
      <c r="A245" s="6">
        <v>242</v>
      </c>
      <c r="B245" s="6" t="s">
        <v>52</v>
      </c>
      <c r="C245" s="6" t="str">
        <f>"马璇"</f>
        <v>马璇</v>
      </c>
      <c r="D245" s="6" t="str">
        <f>"20200209718"</f>
        <v>20200209718</v>
      </c>
      <c r="E245" s="7">
        <v>76.9</v>
      </c>
      <c r="F245" s="7">
        <v>100.38</v>
      </c>
      <c r="G245" s="7">
        <v>90.99</v>
      </c>
      <c r="H245" s="7"/>
      <c r="I245" s="7">
        <v>90.99</v>
      </c>
    </row>
    <row r="246" s="1" customFormat="1" ht="14" customHeight="1" spans="1:9">
      <c r="A246" s="6">
        <v>243</v>
      </c>
      <c r="B246" s="6" t="s">
        <v>52</v>
      </c>
      <c r="C246" s="6" t="str">
        <f>"苗景丽"</f>
        <v>苗景丽</v>
      </c>
      <c r="D246" s="6" t="str">
        <f>"20200210902"</f>
        <v>20200210902</v>
      </c>
      <c r="E246" s="7">
        <v>95.8</v>
      </c>
      <c r="F246" s="7">
        <v>87.16</v>
      </c>
      <c r="G246" s="7">
        <v>90.62</v>
      </c>
      <c r="H246" s="7"/>
      <c r="I246" s="7">
        <v>90.62</v>
      </c>
    </row>
    <row r="247" s="1" customFormat="1" ht="14" customHeight="1" spans="1:9">
      <c r="A247" s="6">
        <v>244</v>
      </c>
      <c r="B247" s="6" t="s">
        <v>52</v>
      </c>
      <c r="C247" s="6" t="str">
        <f>"张峰昌"</f>
        <v>张峰昌</v>
      </c>
      <c r="D247" s="6" t="str">
        <f>"20200211424"</f>
        <v>20200211424</v>
      </c>
      <c r="E247" s="7">
        <v>88.9</v>
      </c>
      <c r="F247" s="7">
        <v>91.63</v>
      </c>
      <c r="G247" s="7">
        <v>90.54</v>
      </c>
      <c r="H247" s="7"/>
      <c r="I247" s="7">
        <v>90.54</v>
      </c>
    </row>
    <row r="248" s="1" customFormat="1" ht="14" customHeight="1" spans="1:9">
      <c r="A248" s="6">
        <v>245</v>
      </c>
      <c r="B248" s="6" t="s">
        <v>52</v>
      </c>
      <c r="C248" s="6" t="str">
        <f>"王娜"</f>
        <v>王娜</v>
      </c>
      <c r="D248" s="6" t="str">
        <f>"20200209420"</f>
        <v>20200209420</v>
      </c>
      <c r="E248" s="7">
        <v>89.15</v>
      </c>
      <c r="F248" s="7">
        <v>88.96</v>
      </c>
      <c r="G248" s="7">
        <v>89.04</v>
      </c>
      <c r="H248" s="7"/>
      <c r="I248" s="7">
        <v>89.04</v>
      </c>
    </row>
    <row r="249" s="1" customFormat="1" ht="14" customHeight="1" spans="1:9">
      <c r="A249" s="6">
        <v>246</v>
      </c>
      <c r="B249" s="6" t="s">
        <v>52</v>
      </c>
      <c r="C249" s="6" t="str">
        <f>"吴智涛"</f>
        <v>吴智涛</v>
      </c>
      <c r="D249" s="6" t="str">
        <f>"20200211613"</f>
        <v>20200211613</v>
      </c>
      <c r="E249" s="7">
        <v>81.6</v>
      </c>
      <c r="F249" s="7">
        <v>93.47</v>
      </c>
      <c r="G249" s="7">
        <v>88.72</v>
      </c>
      <c r="H249" s="7"/>
      <c r="I249" s="7">
        <v>88.72</v>
      </c>
    </row>
    <row r="250" s="1" customFormat="1" ht="14" customHeight="1" spans="1:9">
      <c r="A250" s="6">
        <v>247</v>
      </c>
      <c r="B250" s="6" t="s">
        <v>52</v>
      </c>
      <c r="C250" s="6" t="str">
        <f>"刘畅"</f>
        <v>刘畅</v>
      </c>
      <c r="D250" s="6" t="str">
        <f>"20200210916"</f>
        <v>20200210916</v>
      </c>
      <c r="E250" s="7">
        <v>84.95</v>
      </c>
      <c r="F250" s="7">
        <v>91.07</v>
      </c>
      <c r="G250" s="7">
        <v>88.62</v>
      </c>
      <c r="H250" s="7"/>
      <c r="I250" s="7">
        <v>88.62</v>
      </c>
    </row>
    <row r="251" s="1" customFormat="1" ht="14" customHeight="1" spans="1:9">
      <c r="A251" s="6">
        <v>248</v>
      </c>
      <c r="B251" s="6" t="s">
        <v>52</v>
      </c>
      <c r="C251" s="6" t="str">
        <f>"李健"</f>
        <v>李健</v>
      </c>
      <c r="D251" s="6" t="str">
        <f>"20200306602"</f>
        <v>20200306602</v>
      </c>
      <c r="E251" s="7">
        <v>81.7</v>
      </c>
      <c r="F251" s="7">
        <v>92.77</v>
      </c>
      <c r="G251" s="7">
        <v>88.34</v>
      </c>
      <c r="H251" s="7"/>
      <c r="I251" s="7">
        <v>88.34</v>
      </c>
    </row>
    <row r="252" s="1" customFormat="1" ht="14" customHeight="1" spans="1:9">
      <c r="A252" s="6">
        <v>249</v>
      </c>
      <c r="B252" s="6" t="s">
        <v>53</v>
      </c>
      <c r="C252" s="6" t="str">
        <f>"余志伟"</f>
        <v>余志伟</v>
      </c>
      <c r="D252" s="6" t="str">
        <f>"20200210403"</f>
        <v>20200210403</v>
      </c>
      <c r="E252" s="7">
        <v>95.65</v>
      </c>
      <c r="F252" s="7">
        <v>106.55</v>
      </c>
      <c r="G252" s="7">
        <v>102.19</v>
      </c>
      <c r="H252" s="7"/>
      <c r="I252" s="7">
        <v>102.19</v>
      </c>
    </row>
    <row r="253" s="1" customFormat="1" ht="14" customHeight="1" spans="1:9">
      <c r="A253" s="6">
        <v>250</v>
      </c>
      <c r="B253" s="6" t="s">
        <v>53</v>
      </c>
      <c r="C253" s="6" t="str">
        <f>"徐婕"</f>
        <v>徐婕</v>
      </c>
      <c r="D253" s="6" t="str">
        <f>"20200210030"</f>
        <v>20200210030</v>
      </c>
      <c r="E253" s="7">
        <v>99.35</v>
      </c>
      <c r="F253" s="7">
        <v>98.49</v>
      </c>
      <c r="G253" s="7">
        <v>98.83</v>
      </c>
      <c r="H253" s="7"/>
      <c r="I253" s="7">
        <v>98.83</v>
      </c>
    </row>
    <row r="254" s="1" customFormat="1" ht="14" customHeight="1" spans="1:9">
      <c r="A254" s="6">
        <v>251</v>
      </c>
      <c r="B254" s="6" t="s">
        <v>53</v>
      </c>
      <c r="C254" s="6" t="str">
        <f>"王晓蕾"</f>
        <v>王晓蕾</v>
      </c>
      <c r="D254" s="6" t="str">
        <f>"20200306417"</f>
        <v>20200306417</v>
      </c>
      <c r="E254" s="7">
        <v>101.65</v>
      </c>
      <c r="F254" s="7">
        <v>94.51</v>
      </c>
      <c r="G254" s="7">
        <v>97.37</v>
      </c>
      <c r="H254" s="7"/>
      <c r="I254" s="7">
        <v>97.37</v>
      </c>
    </row>
    <row r="255" s="1" customFormat="1" ht="14" customHeight="1" spans="1:9">
      <c r="A255" s="6">
        <v>252</v>
      </c>
      <c r="B255" s="6" t="s">
        <v>53</v>
      </c>
      <c r="C255" s="6" t="str">
        <f>"管时锦"</f>
        <v>管时锦</v>
      </c>
      <c r="D255" s="6" t="str">
        <f>"20200306815"</f>
        <v>20200306815</v>
      </c>
      <c r="E255" s="7">
        <v>90.6</v>
      </c>
      <c r="F255" s="7">
        <v>101.09</v>
      </c>
      <c r="G255" s="7">
        <v>96.89</v>
      </c>
      <c r="H255" s="7"/>
      <c r="I255" s="7">
        <v>96.89</v>
      </c>
    </row>
    <row r="256" s="1" customFormat="1" ht="14" customHeight="1" spans="1:9">
      <c r="A256" s="6">
        <v>253</v>
      </c>
      <c r="B256" s="6" t="s">
        <v>53</v>
      </c>
      <c r="C256" s="6" t="str">
        <f>"贾刚"</f>
        <v>贾刚</v>
      </c>
      <c r="D256" s="6" t="str">
        <f>"20200209606"</f>
        <v>20200209606</v>
      </c>
      <c r="E256" s="7">
        <v>100.95</v>
      </c>
      <c r="F256" s="7">
        <v>90.39</v>
      </c>
      <c r="G256" s="7">
        <v>94.61</v>
      </c>
      <c r="H256" s="7"/>
      <c r="I256" s="7">
        <v>94.61</v>
      </c>
    </row>
    <row r="257" s="1" customFormat="1" ht="14" customHeight="1" spans="1:9">
      <c r="A257" s="6">
        <v>254</v>
      </c>
      <c r="B257" s="6" t="s">
        <v>53</v>
      </c>
      <c r="C257" s="6" t="str">
        <f>"王宇"</f>
        <v>王宇</v>
      </c>
      <c r="D257" s="6" t="str">
        <f>"20200209422"</f>
        <v>20200209422</v>
      </c>
      <c r="E257" s="7">
        <v>94.6</v>
      </c>
      <c r="F257" s="7">
        <v>93.94</v>
      </c>
      <c r="G257" s="7">
        <v>94.2</v>
      </c>
      <c r="H257" s="7"/>
      <c r="I257" s="7">
        <v>94.2</v>
      </c>
    </row>
    <row r="258" s="1" customFormat="1" ht="14" customHeight="1" spans="1:9">
      <c r="A258" s="6">
        <v>255</v>
      </c>
      <c r="B258" s="6" t="s">
        <v>53</v>
      </c>
      <c r="C258" s="6" t="str">
        <f>"王琳珺"</f>
        <v>王琳珺</v>
      </c>
      <c r="D258" s="6" t="str">
        <f>"20200210616"</f>
        <v>20200210616</v>
      </c>
      <c r="E258" s="7">
        <v>91</v>
      </c>
      <c r="F258" s="7">
        <v>95.84</v>
      </c>
      <c r="G258" s="7">
        <v>93.9</v>
      </c>
      <c r="H258" s="7"/>
      <c r="I258" s="7">
        <v>93.9</v>
      </c>
    </row>
    <row r="259" s="1" customFormat="1" ht="14" customHeight="1" spans="1:9">
      <c r="A259" s="6">
        <v>256</v>
      </c>
      <c r="B259" s="6" t="s">
        <v>53</v>
      </c>
      <c r="C259" s="6" t="str">
        <f>"陈小雪"</f>
        <v>陈小雪</v>
      </c>
      <c r="D259" s="6" t="str">
        <f>"20200209426"</f>
        <v>20200209426</v>
      </c>
      <c r="E259" s="7">
        <v>88.8</v>
      </c>
      <c r="F259" s="7">
        <v>97.21</v>
      </c>
      <c r="G259" s="7">
        <v>93.85</v>
      </c>
      <c r="H259" s="7"/>
      <c r="I259" s="7">
        <v>93.85</v>
      </c>
    </row>
    <row r="260" s="1" customFormat="1" ht="14" customHeight="1" spans="1:9">
      <c r="A260" s="6">
        <v>257</v>
      </c>
      <c r="B260" s="6" t="s">
        <v>53</v>
      </c>
      <c r="C260" s="6" t="str">
        <f>"宋小利"</f>
        <v>宋小利</v>
      </c>
      <c r="D260" s="6" t="str">
        <f>"20200210319"</f>
        <v>20200210319</v>
      </c>
      <c r="E260" s="7">
        <v>102.95</v>
      </c>
      <c r="F260" s="7">
        <v>87.53</v>
      </c>
      <c r="G260" s="7">
        <v>93.7</v>
      </c>
      <c r="H260" s="7"/>
      <c r="I260" s="7">
        <v>93.7</v>
      </c>
    </row>
    <row r="261" s="1" customFormat="1" ht="14" customHeight="1" spans="1:9">
      <c r="A261" s="6">
        <v>258</v>
      </c>
      <c r="B261" s="6" t="s">
        <v>53</v>
      </c>
      <c r="C261" s="6" t="str">
        <f>"罗运兴"</f>
        <v>罗运兴</v>
      </c>
      <c r="D261" s="6" t="str">
        <f>"20200307008"</f>
        <v>20200307008</v>
      </c>
      <c r="E261" s="7">
        <v>91.5</v>
      </c>
      <c r="F261" s="7">
        <v>94.46</v>
      </c>
      <c r="G261" s="7">
        <v>93.28</v>
      </c>
      <c r="H261" s="7"/>
      <c r="I261" s="7">
        <v>93.28</v>
      </c>
    </row>
    <row r="262" s="1" customFormat="1" ht="14" customHeight="1" spans="1:9">
      <c r="A262" s="6">
        <v>259</v>
      </c>
      <c r="B262" s="6" t="s">
        <v>53</v>
      </c>
      <c r="C262" s="6" t="str">
        <f>"冯梅梅"</f>
        <v>冯梅梅</v>
      </c>
      <c r="D262" s="6" t="str">
        <f>"20200210405"</f>
        <v>20200210405</v>
      </c>
      <c r="E262" s="7">
        <v>92.45</v>
      </c>
      <c r="F262" s="7">
        <v>92.02</v>
      </c>
      <c r="G262" s="7">
        <v>92.19</v>
      </c>
      <c r="H262" s="7"/>
      <c r="I262" s="7">
        <v>92.19</v>
      </c>
    </row>
    <row r="263" s="1" customFormat="1" ht="14" customHeight="1" spans="1:9">
      <c r="A263" s="6">
        <v>260</v>
      </c>
      <c r="B263" s="6" t="s">
        <v>53</v>
      </c>
      <c r="C263" s="6" t="str">
        <f>"刘淑君"</f>
        <v>刘淑君</v>
      </c>
      <c r="D263" s="6" t="str">
        <f>"20200209813"</f>
        <v>20200209813</v>
      </c>
      <c r="E263" s="7">
        <v>91.6</v>
      </c>
      <c r="F263" s="7">
        <v>92.33</v>
      </c>
      <c r="G263" s="7">
        <v>92.04</v>
      </c>
      <c r="H263" s="7"/>
      <c r="I263" s="7">
        <v>92.04</v>
      </c>
    </row>
    <row r="264" s="1" customFormat="1" ht="14" customHeight="1" spans="1:9">
      <c r="A264" s="6">
        <v>261</v>
      </c>
      <c r="B264" s="6" t="s">
        <v>53</v>
      </c>
      <c r="C264" s="6" t="str">
        <f>"马悦悦"</f>
        <v>马悦悦</v>
      </c>
      <c r="D264" s="6" t="str">
        <f>"20200306615"</f>
        <v>20200306615</v>
      </c>
      <c r="E264" s="7">
        <v>91.55</v>
      </c>
      <c r="F264" s="7">
        <v>91.43</v>
      </c>
      <c r="G264" s="7">
        <v>91.48</v>
      </c>
      <c r="H264" s="7"/>
      <c r="I264" s="7">
        <v>91.48</v>
      </c>
    </row>
    <row r="265" s="1" customFormat="1" ht="14" customHeight="1" spans="1:9">
      <c r="A265" s="6">
        <v>262</v>
      </c>
      <c r="B265" s="6" t="s">
        <v>53</v>
      </c>
      <c r="C265" s="6" t="str">
        <f>"赵云栋"</f>
        <v>赵云栋</v>
      </c>
      <c r="D265" s="6" t="str">
        <f>"20200210718"</f>
        <v>20200210718</v>
      </c>
      <c r="E265" s="7">
        <v>96.8</v>
      </c>
      <c r="F265" s="7">
        <v>87.91</v>
      </c>
      <c r="G265" s="7">
        <v>91.47</v>
      </c>
      <c r="H265" s="7"/>
      <c r="I265" s="7">
        <v>91.47</v>
      </c>
    </row>
    <row r="266" s="1" customFormat="1" ht="14" customHeight="1" spans="1:9">
      <c r="A266" s="6">
        <v>263</v>
      </c>
      <c r="B266" s="6" t="s">
        <v>53</v>
      </c>
      <c r="C266" s="6" t="str">
        <f>"段涛"</f>
        <v>段涛</v>
      </c>
      <c r="D266" s="6" t="str">
        <f>"20200209906"</f>
        <v>20200209906</v>
      </c>
      <c r="E266" s="7">
        <v>93.5</v>
      </c>
      <c r="F266" s="7">
        <v>89.57</v>
      </c>
      <c r="G266" s="7">
        <v>91.14</v>
      </c>
      <c r="H266" s="7"/>
      <c r="I266" s="7">
        <v>91.14</v>
      </c>
    </row>
    <row r="267" s="1" customFormat="1" ht="14" customHeight="1" spans="1:9">
      <c r="A267" s="6">
        <v>264</v>
      </c>
      <c r="B267" s="6" t="s">
        <v>53</v>
      </c>
      <c r="C267" s="6" t="str">
        <f>"王帅"</f>
        <v>王帅</v>
      </c>
      <c r="D267" s="6" t="str">
        <f>"20200210410"</f>
        <v>20200210410</v>
      </c>
      <c r="E267" s="7">
        <v>86.35</v>
      </c>
      <c r="F267" s="7">
        <v>94.21</v>
      </c>
      <c r="G267" s="7">
        <v>91.07</v>
      </c>
      <c r="H267" s="7"/>
      <c r="I267" s="7">
        <v>91.07</v>
      </c>
    </row>
    <row r="268" s="1" customFormat="1" ht="14" customHeight="1" spans="1:9">
      <c r="A268" s="6">
        <v>265</v>
      </c>
      <c r="B268" s="6" t="s">
        <v>54</v>
      </c>
      <c r="C268" s="6" t="str">
        <f>"魏诗雨"</f>
        <v>魏诗雨</v>
      </c>
      <c r="D268" s="6" t="str">
        <f>"20200100821"</f>
        <v>20200100821</v>
      </c>
      <c r="E268" s="7">
        <v>97.15</v>
      </c>
      <c r="F268" s="7">
        <v>103.64</v>
      </c>
      <c r="G268" s="7">
        <v>101.04</v>
      </c>
      <c r="H268" s="7"/>
      <c r="I268" s="7">
        <v>101.04</v>
      </c>
    </row>
    <row r="269" s="1" customFormat="1" ht="14" customHeight="1" spans="1:9">
      <c r="A269" s="6">
        <v>266</v>
      </c>
      <c r="B269" s="6" t="s">
        <v>54</v>
      </c>
      <c r="C269" s="6" t="str">
        <f>"潘先美"</f>
        <v>潘先美</v>
      </c>
      <c r="D269" s="6" t="str">
        <f>"20200100412"</f>
        <v>20200100412</v>
      </c>
      <c r="E269" s="7">
        <v>94.8</v>
      </c>
      <c r="F269" s="7">
        <v>98.28</v>
      </c>
      <c r="G269" s="7">
        <v>96.89</v>
      </c>
      <c r="H269" s="7"/>
      <c r="I269" s="7">
        <v>96.89</v>
      </c>
    </row>
    <row r="270" s="1" customFormat="1" ht="14" customHeight="1" spans="1:9">
      <c r="A270" s="6">
        <v>267</v>
      </c>
      <c r="B270" s="6" t="s">
        <v>54</v>
      </c>
      <c r="C270" s="6" t="str">
        <f>"苏韩"</f>
        <v>苏韩</v>
      </c>
      <c r="D270" s="6" t="str">
        <f>"20200211827"</f>
        <v>20200211827</v>
      </c>
      <c r="E270" s="7">
        <v>96.6</v>
      </c>
      <c r="F270" s="7">
        <v>91.8</v>
      </c>
      <c r="G270" s="7">
        <v>93.72</v>
      </c>
      <c r="H270" s="7"/>
      <c r="I270" s="7">
        <v>93.72</v>
      </c>
    </row>
    <row r="271" s="1" customFormat="1" ht="14" customHeight="1" spans="1:9">
      <c r="A271" s="6">
        <v>268</v>
      </c>
      <c r="B271" s="6" t="s">
        <v>54</v>
      </c>
      <c r="C271" s="6" t="str">
        <f>"贾茹梦"</f>
        <v>贾茹梦</v>
      </c>
      <c r="D271" s="6" t="str">
        <f>"20200101112"</f>
        <v>20200101112</v>
      </c>
      <c r="E271" s="7">
        <v>97.3</v>
      </c>
      <c r="F271" s="7">
        <v>85.64</v>
      </c>
      <c r="G271" s="7">
        <v>90.3</v>
      </c>
      <c r="H271" s="7"/>
      <c r="I271" s="7">
        <v>90.3</v>
      </c>
    </row>
    <row r="272" s="1" customFormat="1" ht="14" customHeight="1" spans="1:9">
      <c r="A272" s="6">
        <v>269</v>
      </c>
      <c r="B272" s="6" t="s">
        <v>54</v>
      </c>
      <c r="C272" s="6" t="str">
        <f>"蔡长青"</f>
        <v>蔡长青</v>
      </c>
      <c r="D272" s="6" t="str">
        <f>"20200100609"</f>
        <v>20200100609</v>
      </c>
      <c r="E272" s="7">
        <v>91</v>
      </c>
      <c r="F272" s="7">
        <v>88.66</v>
      </c>
      <c r="G272" s="7">
        <v>89.6</v>
      </c>
      <c r="H272" s="7"/>
      <c r="I272" s="7">
        <v>89.6</v>
      </c>
    </row>
    <row r="273" s="1" customFormat="1" ht="14" customHeight="1" spans="1:9">
      <c r="A273" s="6">
        <v>270</v>
      </c>
      <c r="B273" s="6" t="s">
        <v>54</v>
      </c>
      <c r="C273" s="6" t="str">
        <f>"吕娜利"</f>
        <v>吕娜利</v>
      </c>
      <c r="D273" s="6" t="str">
        <f>"20200101217"</f>
        <v>20200101217</v>
      </c>
      <c r="E273" s="7">
        <v>90.4</v>
      </c>
      <c r="F273" s="7">
        <v>88.68</v>
      </c>
      <c r="G273" s="7">
        <v>89.37</v>
      </c>
      <c r="H273" s="7"/>
      <c r="I273" s="7">
        <v>89.37</v>
      </c>
    </row>
    <row r="274" s="1" customFormat="1" ht="14" customHeight="1" spans="1:9">
      <c r="A274" s="6">
        <v>271</v>
      </c>
      <c r="B274" s="6" t="s">
        <v>54</v>
      </c>
      <c r="C274" s="6" t="str">
        <f>"康雪淳"</f>
        <v>康雪淳</v>
      </c>
      <c r="D274" s="6" t="str">
        <f>"20200101028"</f>
        <v>20200101028</v>
      </c>
      <c r="E274" s="7">
        <v>86.15</v>
      </c>
      <c r="F274" s="7">
        <v>89.94</v>
      </c>
      <c r="G274" s="7">
        <v>88.42</v>
      </c>
      <c r="H274" s="7"/>
      <c r="I274" s="7">
        <v>88.42</v>
      </c>
    </row>
    <row r="275" s="1" customFormat="1" ht="14" customHeight="1" spans="1:9">
      <c r="A275" s="6">
        <v>272</v>
      </c>
      <c r="B275" s="6" t="s">
        <v>54</v>
      </c>
      <c r="C275" s="6" t="str">
        <f>"韩庆素"</f>
        <v>韩庆素</v>
      </c>
      <c r="D275" s="6" t="str">
        <f>"20200100507"</f>
        <v>20200100507</v>
      </c>
      <c r="E275" s="7">
        <v>93.7</v>
      </c>
      <c r="F275" s="7">
        <v>84.88</v>
      </c>
      <c r="G275" s="7">
        <v>88.41</v>
      </c>
      <c r="H275" s="7"/>
      <c r="I275" s="7">
        <v>88.41</v>
      </c>
    </row>
    <row r="276" s="1" customFormat="1" ht="14" customHeight="1" spans="1:9">
      <c r="A276" s="6">
        <v>273</v>
      </c>
      <c r="B276" s="6" t="s">
        <v>54</v>
      </c>
      <c r="C276" s="6" t="str">
        <f>"李月月"</f>
        <v>李月月</v>
      </c>
      <c r="D276" s="6" t="str">
        <f>"20200101324"</f>
        <v>20200101324</v>
      </c>
      <c r="E276" s="7">
        <v>94.1</v>
      </c>
      <c r="F276" s="7">
        <v>82.62</v>
      </c>
      <c r="G276" s="7">
        <v>87.21</v>
      </c>
      <c r="H276" s="7"/>
      <c r="I276" s="7">
        <v>87.21</v>
      </c>
    </row>
    <row r="277" s="1" customFormat="1" ht="14" customHeight="1" spans="1:9">
      <c r="A277" s="6">
        <v>274</v>
      </c>
      <c r="B277" s="6" t="s">
        <v>54</v>
      </c>
      <c r="C277" s="6" t="str">
        <f>"张贝贝"</f>
        <v>张贝贝</v>
      </c>
      <c r="D277" s="6" t="str">
        <f>"20200100502"</f>
        <v>20200100502</v>
      </c>
      <c r="E277" s="7">
        <v>92.4</v>
      </c>
      <c r="F277" s="7">
        <v>82.62</v>
      </c>
      <c r="G277" s="7">
        <v>86.53</v>
      </c>
      <c r="H277" s="7"/>
      <c r="I277" s="7">
        <v>86.53</v>
      </c>
    </row>
    <row r="278" s="1" customFormat="1" ht="14" customHeight="1" spans="1:9">
      <c r="A278" s="6">
        <v>275</v>
      </c>
      <c r="B278" s="6" t="s">
        <v>54</v>
      </c>
      <c r="C278" s="6" t="str">
        <f>"沈蕊先"</f>
        <v>沈蕊先</v>
      </c>
      <c r="D278" s="6" t="str">
        <f>"20200100202"</f>
        <v>20200100202</v>
      </c>
      <c r="E278" s="7">
        <v>89.7</v>
      </c>
      <c r="F278" s="7">
        <v>84.14</v>
      </c>
      <c r="G278" s="7">
        <v>86.36</v>
      </c>
      <c r="H278" s="7"/>
      <c r="I278" s="7">
        <v>86.36</v>
      </c>
    </row>
    <row r="279" s="1" customFormat="1" ht="14" customHeight="1" spans="1:9">
      <c r="A279" s="6">
        <v>276</v>
      </c>
      <c r="B279" s="6" t="s">
        <v>54</v>
      </c>
      <c r="C279" s="6" t="str">
        <f>"李慧"</f>
        <v>李慧</v>
      </c>
      <c r="D279" s="6" t="str">
        <f>"20200100108"</f>
        <v>20200100108</v>
      </c>
      <c r="E279" s="7">
        <v>86.25</v>
      </c>
      <c r="F279" s="7">
        <v>86.34</v>
      </c>
      <c r="G279" s="7">
        <v>86.3</v>
      </c>
      <c r="H279" s="7"/>
      <c r="I279" s="7">
        <v>86.3</v>
      </c>
    </row>
    <row r="280" s="1" customFormat="1" ht="14" customHeight="1" spans="1:9">
      <c r="A280" s="6">
        <v>277</v>
      </c>
      <c r="B280" s="6" t="s">
        <v>54</v>
      </c>
      <c r="C280" s="6" t="str">
        <f>"葛瑞雪"</f>
        <v>葛瑞雪</v>
      </c>
      <c r="D280" s="6" t="str">
        <f>"20200100916"</f>
        <v>20200100916</v>
      </c>
      <c r="E280" s="7">
        <v>89.7</v>
      </c>
      <c r="F280" s="7">
        <v>84.02</v>
      </c>
      <c r="G280" s="7">
        <v>86.29</v>
      </c>
      <c r="H280" s="7"/>
      <c r="I280" s="7">
        <v>86.29</v>
      </c>
    </row>
    <row r="281" s="1" customFormat="1" ht="14" customHeight="1" spans="1:9">
      <c r="A281" s="6">
        <v>278</v>
      </c>
      <c r="B281" s="6" t="s">
        <v>54</v>
      </c>
      <c r="C281" s="6" t="str">
        <f>"卢晚情"</f>
        <v>卢晚情</v>
      </c>
      <c r="D281" s="6" t="str">
        <f>"20200100830"</f>
        <v>20200100830</v>
      </c>
      <c r="E281" s="7">
        <v>92.2</v>
      </c>
      <c r="F281" s="7">
        <v>82.14</v>
      </c>
      <c r="G281" s="7">
        <v>86.16</v>
      </c>
      <c r="H281" s="7"/>
      <c r="I281" s="7">
        <v>86.16</v>
      </c>
    </row>
    <row r="282" s="1" customFormat="1" ht="14" customHeight="1" spans="1:9">
      <c r="A282" s="6">
        <v>279</v>
      </c>
      <c r="B282" s="6" t="s">
        <v>55</v>
      </c>
      <c r="C282" s="6" t="str">
        <f>"陈遇"</f>
        <v>陈遇</v>
      </c>
      <c r="D282" s="6" t="str">
        <f>"20200101106"</f>
        <v>20200101106</v>
      </c>
      <c r="E282" s="7">
        <v>102.55</v>
      </c>
      <c r="F282" s="7">
        <v>91.08</v>
      </c>
      <c r="G282" s="7">
        <v>95.67</v>
      </c>
      <c r="H282" s="7"/>
      <c r="I282" s="7">
        <v>95.67</v>
      </c>
    </row>
    <row r="283" s="1" customFormat="1" ht="14" customHeight="1" spans="1:9">
      <c r="A283" s="6">
        <v>280</v>
      </c>
      <c r="B283" s="6" t="s">
        <v>55</v>
      </c>
      <c r="C283" s="6" t="str">
        <f>"刘涛"</f>
        <v>刘涛</v>
      </c>
      <c r="D283" s="6" t="str">
        <f>"20200101416"</f>
        <v>20200101416</v>
      </c>
      <c r="E283" s="7">
        <v>92.1</v>
      </c>
      <c r="F283" s="7">
        <v>95.38</v>
      </c>
      <c r="G283" s="7">
        <v>94.07</v>
      </c>
      <c r="H283" s="7"/>
      <c r="I283" s="7">
        <v>94.07</v>
      </c>
    </row>
    <row r="284" s="1" customFormat="1" ht="14" customHeight="1" spans="1:9">
      <c r="A284" s="6">
        <v>281</v>
      </c>
      <c r="B284" s="6" t="s">
        <v>55</v>
      </c>
      <c r="C284" s="6" t="str">
        <f>"王欢"</f>
        <v>王欢</v>
      </c>
      <c r="D284" s="6" t="str">
        <f>"20200101401"</f>
        <v>20200101401</v>
      </c>
      <c r="E284" s="7">
        <v>95.35</v>
      </c>
      <c r="F284" s="7">
        <v>92.86</v>
      </c>
      <c r="G284" s="7">
        <v>93.86</v>
      </c>
      <c r="H284" s="7"/>
      <c r="I284" s="7">
        <v>93.86</v>
      </c>
    </row>
    <row r="285" s="1" customFormat="1" ht="14" customHeight="1" spans="1:9">
      <c r="A285" s="6">
        <v>282</v>
      </c>
      <c r="B285" s="6" t="s">
        <v>55</v>
      </c>
      <c r="C285" s="6" t="str">
        <f>"张洁"</f>
        <v>张洁</v>
      </c>
      <c r="D285" s="6" t="str">
        <f>"20200101104"</f>
        <v>20200101104</v>
      </c>
      <c r="E285" s="7">
        <v>97.2</v>
      </c>
      <c r="F285" s="7">
        <v>91</v>
      </c>
      <c r="G285" s="7">
        <v>93.48</v>
      </c>
      <c r="H285" s="7"/>
      <c r="I285" s="7">
        <v>93.48</v>
      </c>
    </row>
    <row r="286" s="1" customFormat="1" ht="14" customHeight="1" spans="1:9">
      <c r="A286" s="6">
        <v>283</v>
      </c>
      <c r="B286" s="6" t="s">
        <v>55</v>
      </c>
      <c r="C286" s="6" t="str">
        <f>"张婷婷"</f>
        <v>张婷婷</v>
      </c>
      <c r="D286" s="6" t="str">
        <f>"20200100307"</f>
        <v>20200100307</v>
      </c>
      <c r="E286" s="7">
        <v>96.7</v>
      </c>
      <c r="F286" s="7">
        <v>90.74</v>
      </c>
      <c r="G286" s="7">
        <v>93.12</v>
      </c>
      <c r="H286" s="7"/>
      <c r="I286" s="7">
        <v>93.12</v>
      </c>
    </row>
    <row r="287" s="1" customFormat="1" ht="14" customHeight="1" spans="1:9">
      <c r="A287" s="6">
        <v>284</v>
      </c>
      <c r="B287" s="6" t="s">
        <v>55</v>
      </c>
      <c r="C287" s="6" t="str">
        <f>"聂建梅"</f>
        <v>聂建梅</v>
      </c>
      <c r="D287" s="6" t="str">
        <f>"20200100116"</f>
        <v>20200100116</v>
      </c>
      <c r="E287" s="7">
        <v>90.6</v>
      </c>
      <c r="F287" s="7">
        <v>94.64</v>
      </c>
      <c r="G287" s="7">
        <v>93.02</v>
      </c>
      <c r="H287" s="7"/>
      <c r="I287" s="7">
        <v>93.02</v>
      </c>
    </row>
    <row r="288" s="1" customFormat="1" ht="14" customHeight="1" spans="1:9">
      <c r="A288" s="6">
        <v>285</v>
      </c>
      <c r="B288" s="6" t="s">
        <v>55</v>
      </c>
      <c r="C288" s="6" t="str">
        <f>"张运运"</f>
        <v>张运运</v>
      </c>
      <c r="D288" s="6" t="str">
        <f>"20200101325"</f>
        <v>20200101325</v>
      </c>
      <c r="E288" s="7">
        <v>95.15</v>
      </c>
      <c r="F288" s="7">
        <v>91.52</v>
      </c>
      <c r="G288" s="7">
        <v>92.97</v>
      </c>
      <c r="H288" s="7"/>
      <c r="I288" s="7">
        <v>92.97</v>
      </c>
    </row>
    <row r="289" s="1" customFormat="1" ht="14" customHeight="1" spans="1:9">
      <c r="A289" s="6">
        <v>286</v>
      </c>
      <c r="B289" s="6" t="s">
        <v>55</v>
      </c>
      <c r="C289" s="6" t="str">
        <f>"杨曼丽"</f>
        <v>杨曼丽</v>
      </c>
      <c r="D289" s="6" t="str">
        <f>"20200100701"</f>
        <v>20200100701</v>
      </c>
      <c r="E289" s="7">
        <v>96.4</v>
      </c>
      <c r="F289" s="7">
        <v>90.52</v>
      </c>
      <c r="G289" s="7">
        <v>92.87</v>
      </c>
      <c r="H289" s="7"/>
      <c r="I289" s="7">
        <v>92.87</v>
      </c>
    </row>
    <row r="290" s="1" customFormat="1" ht="14" customHeight="1" spans="1:9">
      <c r="A290" s="6">
        <v>287</v>
      </c>
      <c r="B290" s="6" t="s">
        <v>55</v>
      </c>
      <c r="C290" s="6" t="str">
        <f>"蒋丽"</f>
        <v>蒋丽</v>
      </c>
      <c r="D290" s="6" t="str">
        <f>"20200100826"</f>
        <v>20200100826</v>
      </c>
      <c r="E290" s="7">
        <v>98.65</v>
      </c>
      <c r="F290" s="7">
        <v>88.86</v>
      </c>
      <c r="G290" s="7">
        <v>92.78</v>
      </c>
      <c r="H290" s="7"/>
      <c r="I290" s="7">
        <v>92.78</v>
      </c>
    </row>
    <row r="291" s="1" customFormat="1" ht="14" customHeight="1" spans="1:9">
      <c r="A291" s="6">
        <v>288</v>
      </c>
      <c r="B291" s="6" t="s">
        <v>55</v>
      </c>
      <c r="C291" s="6" t="str">
        <f>"邹文"</f>
        <v>邹文</v>
      </c>
      <c r="D291" s="6" t="str">
        <f>"20200100828"</f>
        <v>20200100828</v>
      </c>
      <c r="E291" s="7">
        <v>96.55</v>
      </c>
      <c r="F291" s="7">
        <v>89.82</v>
      </c>
      <c r="G291" s="7">
        <v>92.51</v>
      </c>
      <c r="H291" s="7"/>
      <c r="I291" s="7">
        <v>92.51</v>
      </c>
    </row>
    <row r="292" s="1" customFormat="1" ht="14" customHeight="1" spans="1:9">
      <c r="A292" s="6">
        <v>289</v>
      </c>
      <c r="B292" s="6" t="s">
        <v>55</v>
      </c>
      <c r="C292" s="6" t="str">
        <f>"陶荣伟"</f>
        <v>陶荣伟</v>
      </c>
      <c r="D292" s="6" t="str">
        <f>"20200101010"</f>
        <v>20200101010</v>
      </c>
      <c r="E292" s="7">
        <v>93.4</v>
      </c>
      <c r="F292" s="7">
        <v>91.46</v>
      </c>
      <c r="G292" s="7">
        <v>92.24</v>
      </c>
      <c r="H292" s="7"/>
      <c r="I292" s="7">
        <v>92.24</v>
      </c>
    </row>
    <row r="293" s="1" customFormat="1" ht="14" customHeight="1" spans="1:9">
      <c r="A293" s="6">
        <v>290</v>
      </c>
      <c r="B293" s="6" t="s">
        <v>55</v>
      </c>
      <c r="C293" s="6" t="str">
        <f>"绳玥"</f>
        <v>绳玥</v>
      </c>
      <c r="D293" s="6" t="str">
        <f>"20200101103"</f>
        <v>20200101103</v>
      </c>
      <c r="E293" s="7">
        <v>103.85</v>
      </c>
      <c r="F293" s="7">
        <v>84.48</v>
      </c>
      <c r="G293" s="7">
        <v>92.23</v>
      </c>
      <c r="H293" s="7"/>
      <c r="I293" s="7">
        <v>92.23</v>
      </c>
    </row>
    <row r="294" s="1" customFormat="1" ht="14" customHeight="1" spans="1:9">
      <c r="A294" s="6">
        <v>291</v>
      </c>
      <c r="B294" s="6" t="s">
        <v>55</v>
      </c>
      <c r="C294" s="6" t="str">
        <f>"陆佳佳"</f>
        <v>陆佳佳</v>
      </c>
      <c r="D294" s="6" t="str">
        <f>"20200101201"</f>
        <v>20200101201</v>
      </c>
      <c r="E294" s="7">
        <v>88.75</v>
      </c>
      <c r="F294" s="7">
        <v>93.14</v>
      </c>
      <c r="G294" s="7">
        <v>91.38</v>
      </c>
      <c r="H294" s="7"/>
      <c r="I294" s="7">
        <v>91.38</v>
      </c>
    </row>
    <row r="295" s="1" customFormat="1" ht="14" customHeight="1" spans="1:9">
      <c r="A295" s="6">
        <v>292</v>
      </c>
      <c r="B295" s="6" t="s">
        <v>55</v>
      </c>
      <c r="C295" s="6" t="str">
        <f>"李娜娜"</f>
        <v>李娜娜</v>
      </c>
      <c r="D295" s="6" t="str">
        <f>"20200100515"</f>
        <v>20200100515</v>
      </c>
      <c r="E295" s="7">
        <v>100.6</v>
      </c>
      <c r="F295" s="7">
        <v>84.66</v>
      </c>
      <c r="G295" s="7">
        <v>91.04</v>
      </c>
      <c r="H295" s="7"/>
      <c r="I295" s="7">
        <v>91.04</v>
      </c>
    </row>
    <row r="296" s="1" customFormat="1" ht="14" customHeight="1" spans="1:9">
      <c r="A296" s="6">
        <v>293</v>
      </c>
      <c r="B296" s="6" t="s">
        <v>56</v>
      </c>
      <c r="C296" s="6" t="str">
        <f>"刘倩倩"</f>
        <v>刘倩倩</v>
      </c>
      <c r="D296" s="6" t="str">
        <f>"20200105309"</f>
        <v>20200105309</v>
      </c>
      <c r="E296" s="7">
        <v>89.8</v>
      </c>
      <c r="F296" s="7">
        <v>84.72</v>
      </c>
      <c r="G296" s="7">
        <v>86.75</v>
      </c>
      <c r="H296" s="7"/>
      <c r="I296" s="7">
        <v>86.75</v>
      </c>
    </row>
    <row r="297" s="1" customFormat="1" ht="14" customHeight="1" spans="1:9">
      <c r="A297" s="6">
        <v>294</v>
      </c>
      <c r="B297" s="6" t="s">
        <v>56</v>
      </c>
      <c r="C297" s="6" t="str">
        <f>"薛梦"</f>
        <v>薛梦</v>
      </c>
      <c r="D297" s="6" t="str">
        <f>"20200105326"</f>
        <v>20200105326</v>
      </c>
      <c r="E297" s="7">
        <v>88.9</v>
      </c>
      <c r="F297" s="7">
        <v>82.3</v>
      </c>
      <c r="G297" s="7">
        <v>84.94</v>
      </c>
      <c r="H297" s="7"/>
      <c r="I297" s="7">
        <v>84.94</v>
      </c>
    </row>
    <row r="298" s="1" customFormat="1" ht="14" customHeight="1" spans="1:9">
      <c r="A298" s="6">
        <v>295</v>
      </c>
      <c r="B298" s="6" t="s">
        <v>56</v>
      </c>
      <c r="C298" s="6" t="str">
        <f>"丁婷婷"</f>
        <v>丁婷婷</v>
      </c>
      <c r="D298" s="6" t="str">
        <f>"20200211722"</f>
        <v>20200211722</v>
      </c>
      <c r="E298" s="7">
        <v>87.65</v>
      </c>
      <c r="F298" s="7">
        <v>81.61</v>
      </c>
      <c r="G298" s="7">
        <v>84.03</v>
      </c>
      <c r="H298" s="7"/>
      <c r="I298" s="7">
        <v>84.03</v>
      </c>
    </row>
    <row r="299" s="1" customFormat="1" ht="14" customHeight="1" spans="1:9">
      <c r="A299" s="6">
        <v>296</v>
      </c>
      <c r="B299" s="6" t="s">
        <v>56</v>
      </c>
      <c r="C299" s="6" t="str">
        <f>"高佳慧"</f>
        <v>高佳慧</v>
      </c>
      <c r="D299" s="6" t="str">
        <f>"20200105526"</f>
        <v>20200105526</v>
      </c>
      <c r="E299" s="7">
        <v>80.85</v>
      </c>
      <c r="F299" s="7">
        <v>85.57</v>
      </c>
      <c r="G299" s="7">
        <v>83.68</v>
      </c>
      <c r="H299" s="7"/>
      <c r="I299" s="7">
        <v>83.68</v>
      </c>
    </row>
    <row r="300" s="1" customFormat="1" ht="14" customHeight="1" spans="1:9">
      <c r="A300" s="6">
        <v>297</v>
      </c>
      <c r="B300" s="6" t="s">
        <v>56</v>
      </c>
      <c r="C300" s="6" t="str">
        <f>"段席席"</f>
        <v>段席席</v>
      </c>
      <c r="D300" s="6" t="str">
        <f>"20200105318"</f>
        <v>20200105318</v>
      </c>
      <c r="E300" s="7">
        <v>78.65</v>
      </c>
      <c r="F300" s="7">
        <v>85.38</v>
      </c>
      <c r="G300" s="7">
        <v>82.69</v>
      </c>
      <c r="H300" s="7"/>
      <c r="I300" s="7">
        <v>82.69</v>
      </c>
    </row>
    <row r="301" s="1" customFormat="1" ht="14" customHeight="1" spans="1:9">
      <c r="A301" s="6">
        <v>298</v>
      </c>
      <c r="B301" s="6" t="s">
        <v>56</v>
      </c>
      <c r="C301" s="6" t="str">
        <f>"张彤彤"</f>
        <v>张彤彤</v>
      </c>
      <c r="D301" s="6" t="str">
        <f>"20200105506"</f>
        <v>20200105506</v>
      </c>
      <c r="E301" s="7">
        <v>86.25</v>
      </c>
      <c r="F301" s="7">
        <v>78.05</v>
      </c>
      <c r="G301" s="7">
        <v>81.33</v>
      </c>
      <c r="H301" s="7"/>
      <c r="I301" s="7">
        <v>81.33</v>
      </c>
    </row>
    <row r="302" s="1" customFormat="1" ht="14" customHeight="1" spans="1:9">
      <c r="A302" s="6">
        <v>299</v>
      </c>
      <c r="B302" s="6" t="s">
        <v>56</v>
      </c>
      <c r="C302" s="6" t="str">
        <f>"冉胜男"</f>
        <v>冉胜男</v>
      </c>
      <c r="D302" s="6" t="str">
        <f>"20200211710"</f>
        <v>20200211710</v>
      </c>
      <c r="E302" s="7">
        <v>77.65</v>
      </c>
      <c r="F302" s="7">
        <v>81.82</v>
      </c>
      <c r="G302" s="7">
        <v>80.15</v>
      </c>
      <c r="H302" s="7"/>
      <c r="I302" s="7">
        <v>80.15</v>
      </c>
    </row>
    <row r="303" s="1" customFormat="1" ht="14" customHeight="1" spans="1:9">
      <c r="A303" s="6">
        <v>300</v>
      </c>
      <c r="B303" s="6" t="s">
        <v>56</v>
      </c>
      <c r="C303" s="6" t="str">
        <f>"陈梦南"</f>
        <v>陈梦南</v>
      </c>
      <c r="D303" s="6" t="str">
        <f>"20200105319"</f>
        <v>20200105319</v>
      </c>
      <c r="E303" s="7">
        <v>82.4</v>
      </c>
      <c r="F303" s="7">
        <v>78.48</v>
      </c>
      <c r="G303" s="7">
        <v>80.05</v>
      </c>
      <c r="H303" s="7"/>
      <c r="I303" s="7">
        <v>80.05</v>
      </c>
    </row>
    <row r="304" s="1" customFormat="1" ht="14" customHeight="1" spans="1:9">
      <c r="A304" s="6">
        <v>301</v>
      </c>
      <c r="B304" s="6" t="s">
        <v>56</v>
      </c>
      <c r="C304" s="6" t="str">
        <f>"卞若楠"</f>
        <v>卞若楠</v>
      </c>
      <c r="D304" s="6" t="str">
        <f>"20200105512"</f>
        <v>20200105512</v>
      </c>
      <c r="E304" s="7">
        <v>84.1</v>
      </c>
      <c r="F304" s="7">
        <v>74.52</v>
      </c>
      <c r="G304" s="7">
        <v>78.35</v>
      </c>
      <c r="H304" s="7"/>
      <c r="I304" s="7">
        <v>78.35</v>
      </c>
    </row>
    <row r="305" s="1" customFormat="1" ht="14" customHeight="1" spans="1:9">
      <c r="A305" s="6">
        <v>302</v>
      </c>
      <c r="B305" s="6" t="s">
        <v>56</v>
      </c>
      <c r="C305" s="6" t="str">
        <f>"朱梦杰"</f>
        <v>朱梦杰</v>
      </c>
      <c r="D305" s="6" t="str">
        <f>"20200105403"</f>
        <v>20200105403</v>
      </c>
      <c r="E305" s="7">
        <v>82.25</v>
      </c>
      <c r="F305" s="7">
        <v>73.71</v>
      </c>
      <c r="G305" s="7">
        <v>77.13</v>
      </c>
      <c r="H305" s="7"/>
      <c r="I305" s="7">
        <v>77.13</v>
      </c>
    </row>
    <row r="306" s="1" customFormat="1" ht="14" customHeight="1" spans="1:9">
      <c r="A306" s="6">
        <v>303</v>
      </c>
      <c r="B306" s="6" t="s">
        <v>56</v>
      </c>
      <c r="C306" s="6" t="str">
        <f>"王育红"</f>
        <v>王育红</v>
      </c>
      <c r="D306" s="6" t="str">
        <f>"20200105330"</f>
        <v>20200105330</v>
      </c>
      <c r="E306" s="7">
        <v>85.5</v>
      </c>
      <c r="F306" s="7">
        <v>70.88</v>
      </c>
      <c r="G306" s="7">
        <v>76.73</v>
      </c>
      <c r="H306" s="7"/>
      <c r="I306" s="7">
        <v>76.73</v>
      </c>
    </row>
    <row r="307" s="1" customFormat="1" ht="14" customHeight="1" spans="1:9">
      <c r="A307" s="6">
        <v>304</v>
      </c>
      <c r="B307" s="6" t="s">
        <v>56</v>
      </c>
      <c r="C307" s="6" t="str">
        <f>"李腾辉"</f>
        <v>李腾辉</v>
      </c>
      <c r="D307" s="6" t="str">
        <f>"20200105525"</f>
        <v>20200105525</v>
      </c>
      <c r="E307" s="7">
        <v>83.9</v>
      </c>
      <c r="F307" s="7">
        <v>71.92</v>
      </c>
      <c r="G307" s="7">
        <v>76.71</v>
      </c>
      <c r="H307" s="7"/>
      <c r="I307" s="7">
        <v>76.71</v>
      </c>
    </row>
    <row r="308" s="1" customFormat="1" ht="14" customHeight="1" spans="1:9">
      <c r="A308" s="6">
        <v>305</v>
      </c>
      <c r="B308" s="6" t="s">
        <v>56</v>
      </c>
      <c r="C308" s="6" t="str">
        <f>"李云兰"</f>
        <v>李云兰</v>
      </c>
      <c r="D308" s="6" t="str">
        <f>"20200105218"</f>
        <v>20200105218</v>
      </c>
      <c r="E308" s="7">
        <v>76.05</v>
      </c>
      <c r="F308" s="7">
        <v>77.11</v>
      </c>
      <c r="G308" s="7">
        <v>76.69</v>
      </c>
      <c r="H308" s="7"/>
      <c r="I308" s="7">
        <v>76.69</v>
      </c>
    </row>
    <row r="309" s="1" customFormat="1" ht="14" customHeight="1" spans="1:9">
      <c r="A309" s="6">
        <v>306</v>
      </c>
      <c r="B309" s="6" t="s">
        <v>56</v>
      </c>
      <c r="C309" s="6" t="str">
        <f>"康胜军"</f>
        <v>康胜军</v>
      </c>
      <c r="D309" s="6" t="str">
        <f>"20200211717"</f>
        <v>20200211717</v>
      </c>
      <c r="E309" s="7">
        <v>82.1</v>
      </c>
      <c r="F309" s="7">
        <v>72.37</v>
      </c>
      <c r="G309" s="7">
        <v>76.26</v>
      </c>
      <c r="H309" s="7"/>
      <c r="I309" s="7">
        <v>76.26</v>
      </c>
    </row>
    <row r="310" s="1" customFormat="1" ht="14" customHeight="1" spans="1:9">
      <c r="A310" s="6">
        <v>307</v>
      </c>
      <c r="B310" s="6" t="s">
        <v>57</v>
      </c>
      <c r="C310" s="6" t="str">
        <f>"马丽丽"</f>
        <v>马丽丽</v>
      </c>
      <c r="D310" s="6" t="str">
        <f>"20200105417"</f>
        <v>20200105417</v>
      </c>
      <c r="E310" s="7">
        <v>91.95</v>
      </c>
      <c r="F310" s="7">
        <v>91.17</v>
      </c>
      <c r="G310" s="7">
        <v>91.48</v>
      </c>
      <c r="H310" s="7"/>
      <c r="I310" s="7">
        <v>91.48</v>
      </c>
    </row>
    <row r="311" s="1" customFormat="1" ht="14" customHeight="1" spans="1:9">
      <c r="A311" s="6">
        <v>308</v>
      </c>
      <c r="B311" s="6" t="s">
        <v>57</v>
      </c>
      <c r="C311" s="6" t="str">
        <f>"林宜芳"</f>
        <v>林宜芳</v>
      </c>
      <c r="D311" s="6" t="str">
        <f>"20200105509"</f>
        <v>20200105509</v>
      </c>
      <c r="E311" s="7">
        <v>87.65</v>
      </c>
      <c r="F311" s="7">
        <v>84.29</v>
      </c>
      <c r="G311" s="7">
        <v>85.63</v>
      </c>
      <c r="H311" s="7"/>
      <c r="I311" s="7">
        <v>85.63</v>
      </c>
    </row>
    <row r="312" s="1" customFormat="1" ht="14" customHeight="1" spans="1:9">
      <c r="A312" s="6">
        <v>309</v>
      </c>
      <c r="B312" s="6" t="s">
        <v>57</v>
      </c>
      <c r="C312" s="6" t="str">
        <f>"闫曼丽"</f>
        <v>闫曼丽</v>
      </c>
      <c r="D312" s="6" t="str">
        <f>"20200105401"</f>
        <v>20200105401</v>
      </c>
      <c r="E312" s="7">
        <v>88.15</v>
      </c>
      <c r="F312" s="7">
        <v>79.16</v>
      </c>
      <c r="G312" s="7">
        <v>82.76</v>
      </c>
      <c r="H312" s="7"/>
      <c r="I312" s="7">
        <v>82.76</v>
      </c>
    </row>
    <row r="313" s="1" customFormat="1" ht="14" customHeight="1" spans="1:9">
      <c r="A313" s="6">
        <v>310</v>
      </c>
      <c r="B313" s="6" t="s">
        <v>57</v>
      </c>
      <c r="C313" s="6" t="str">
        <f>"岳程程"</f>
        <v>岳程程</v>
      </c>
      <c r="D313" s="6" t="str">
        <f>"20200105415"</f>
        <v>20200105415</v>
      </c>
      <c r="E313" s="7">
        <v>81.5</v>
      </c>
      <c r="F313" s="7">
        <v>81.07</v>
      </c>
      <c r="G313" s="7">
        <v>81.24</v>
      </c>
      <c r="H313" s="7"/>
      <c r="I313" s="7">
        <v>81.24</v>
      </c>
    </row>
    <row r="314" s="1" customFormat="1" ht="14" customHeight="1" spans="1:9">
      <c r="A314" s="6">
        <v>311</v>
      </c>
      <c r="B314" s="6" t="s">
        <v>57</v>
      </c>
      <c r="C314" s="6" t="str">
        <f>"张振威"</f>
        <v>张振威</v>
      </c>
      <c r="D314" s="6" t="str">
        <f>"20200105209"</f>
        <v>20200105209</v>
      </c>
      <c r="E314" s="7">
        <v>89.3</v>
      </c>
      <c r="F314" s="7">
        <v>71.51</v>
      </c>
      <c r="G314" s="7">
        <v>78.63</v>
      </c>
      <c r="H314" s="7"/>
      <c r="I314" s="7">
        <v>78.63</v>
      </c>
    </row>
    <row r="315" s="1" customFormat="1" ht="14" customHeight="1" spans="1:9">
      <c r="A315" s="6">
        <v>312</v>
      </c>
      <c r="B315" s="6" t="s">
        <v>57</v>
      </c>
      <c r="C315" s="6" t="str">
        <f>"孙博扬"</f>
        <v>孙博扬</v>
      </c>
      <c r="D315" s="6" t="str">
        <f>"20200105302"</f>
        <v>20200105302</v>
      </c>
      <c r="E315" s="7">
        <v>76.15</v>
      </c>
      <c r="F315" s="7">
        <v>79.68</v>
      </c>
      <c r="G315" s="7">
        <v>78.27</v>
      </c>
      <c r="H315" s="7"/>
      <c r="I315" s="7">
        <v>78.27</v>
      </c>
    </row>
    <row r="316" s="1" customFormat="1" ht="14" customHeight="1" spans="1:9">
      <c r="A316" s="6">
        <v>313</v>
      </c>
      <c r="B316" s="6" t="s">
        <v>57</v>
      </c>
      <c r="C316" s="6" t="str">
        <f>"赵敏杰"</f>
        <v>赵敏杰</v>
      </c>
      <c r="D316" s="6" t="str">
        <f>"20200105416"</f>
        <v>20200105416</v>
      </c>
      <c r="E316" s="7">
        <v>76.45</v>
      </c>
      <c r="F316" s="7">
        <v>79.13</v>
      </c>
      <c r="G316" s="7">
        <v>78.06</v>
      </c>
      <c r="H316" s="7"/>
      <c r="I316" s="7">
        <v>78.06</v>
      </c>
    </row>
    <row r="317" s="1" customFormat="1" ht="14" customHeight="1" spans="1:9">
      <c r="A317" s="6">
        <v>314</v>
      </c>
      <c r="B317" s="6" t="s">
        <v>57</v>
      </c>
      <c r="C317" s="6" t="str">
        <f>"荣欢"</f>
        <v>荣欢</v>
      </c>
      <c r="D317" s="6" t="str">
        <f>"20200105503"</f>
        <v>20200105503</v>
      </c>
      <c r="E317" s="7">
        <v>75.8</v>
      </c>
      <c r="F317" s="7">
        <v>78.06</v>
      </c>
      <c r="G317" s="7">
        <v>77.16</v>
      </c>
      <c r="H317" s="7"/>
      <c r="I317" s="7">
        <v>77.16</v>
      </c>
    </row>
    <row r="318" s="1" customFormat="1" ht="14" customHeight="1" spans="1:9">
      <c r="A318" s="6">
        <v>315</v>
      </c>
      <c r="B318" s="6" t="s">
        <v>57</v>
      </c>
      <c r="C318" s="6" t="str">
        <f>"胡倩倩"</f>
        <v>胡倩倩</v>
      </c>
      <c r="D318" s="6" t="str">
        <f>"20200105522"</f>
        <v>20200105522</v>
      </c>
      <c r="E318" s="7">
        <v>80</v>
      </c>
      <c r="F318" s="7">
        <v>74.95</v>
      </c>
      <c r="G318" s="7">
        <v>76.97</v>
      </c>
      <c r="H318" s="7"/>
      <c r="I318" s="7">
        <v>76.97</v>
      </c>
    </row>
    <row r="319" s="1" customFormat="1" ht="14" customHeight="1" spans="1:9">
      <c r="A319" s="6">
        <v>316</v>
      </c>
      <c r="B319" s="6" t="s">
        <v>57</v>
      </c>
      <c r="C319" s="6" t="str">
        <f>"吕丽娟"</f>
        <v>吕丽娟</v>
      </c>
      <c r="D319" s="6" t="str">
        <f>"20200105527"</f>
        <v>20200105527</v>
      </c>
      <c r="E319" s="7">
        <v>91.25</v>
      </c>
      <c r="F319" s="7">
        <v>64.5</v>
      </c>
      <c r="G319" s="7">
        <v>75.2</v>
      </c>
      <c r="H319" s="7"/>
      <c r="I319" s="7">
        <v>75.2</v>
      </c>
    </row>
    <row r="320" s="1" customFormat="1" ht="14" customHeight="1" spans="1:9">
      <c r="A320" s="6">
        <v>317</v>
      </c>
      <c r="B320" s="6" t="s">
        <v>57</v>
      </c>
      <c r="C320" s="6" t="str">
        <f>"江晓静"</f>
        <v>江晓静</v>
      </c>
      <c r="D320" s="6" t="str">
        <f>"20200211703"</f>
        <v>20200211703</v>
      </c>
      <c r="E320" s="7">
        <v>86.7</v>
      </c>
      <c r="F320" s="7">
        <v>67.5</v>
      </c>
      <c r="G320" s="7">
        <v>75.18</v>
      </c>
      <c r="H320" s="7"/>
      <c r="I320" s="7">
        <v>75.18</v>
      </c>
    </row>
    <row r="321" s="1" customFormat="1" ht="14" customHeight="1" spans="1:9">
      <c r="A321" s="6">
        <v>318</v>
      </c>
      <c r="B321" s="6" t="s">
        <v>57</v>
      </c>
      <c r="C321" s="6" t="str">
        <f>"沈后明"</f>
        <v>沈后明</v>
      </c>
      <c r="D321" s="6" t="str">
        <f>"20200105323"</f>
        <v>20200105323</v>
      </c>
      <c r="E321" s="7">
        <v>71.4</v>
      </c>
      <c r="F321" s="7">
        <v>77.55</v>
      </c>
      <c r="G321" s="7">
        <v>75.09</v>
      </c>
      <c r="H321" s="7"/>
      <c r="I321" s="7">
        <v>75.09</v>
      </c>
    </row>
    <row r="322" s="1" customFormat="1" ht="14" customHeight="1" spans="1:9">
      <c r="A322" s="6">
        <v>319</v>
      </c>
      <c r="B322" s="6" t="s">
        <v>58</v>
      </c>
      <c r="C322" s="6" t="str">
        <f>"吕孟祥"</f>
        <v>吕孟祥</v>
      </c>
      <c r="D322" s="6" t="str">
        <f>"20200104916"</f>
        <v>20200104916</v>
      </c>
      <c r="E322" s="7">
        <v>95.05</v>
      </c>
      <c r="F322" s="7">
        <v>96.4</v>
      </c>
      <c r="G322" s="7">
        <v>95.86</v>
      </c>
      <c r="H322" s="7"/>
      <c r="I322" s="7">
        <v>95.86</v>
      </c>
    </row>
    <row r="323" s="1" customFormat="1" ht="14" customHeight="1" spans="1:9">
      <c r="A323" s="6">
        <v>320</v>
      </c>
      <c r="B323" s="6" t="s">
        <v>58</v>
      </c>
      <c r="C323" s="6" t="str">
        <f>"孙玲玲"</f>
        <v>孙玲玲</v>
      </c>
      <c r="D323" s="6" t="str">
        <f>"20200104904"</f>
        <v>20200104904</v>
      </c>
      <c r="E323" s="7">
        <v>93.7</v>
      </c>
      <c r="F323" s="7">
        <v>91.71</v>
      </c>
      <c r="G323" s="7">
        <v>92.51</v>
      </c>
      <c r="H323" s="7"/>
      <c r="I323" s="7">
        <v>92.51</v>
      </c>
    </row>
    <row r="324" s="1" customFormat="1" ht="14" customHeight="1" spans="1:9">
      <c r="A324" s="6">
        <v>321</v>
      </c>
      <c r="B324" s="6" t="s">
        <v>58</v>
      </c>
      <c r="C324" s="6" t="str">
        <f>"张庭芳"</f>
        <v>张庭芳</v>
      </c>
      <c r="D324" s="6" t="str">
        <f>"20200104917"</f>
        <v>20200104917</v>
      </c>
      <c r="E324" s="7">
        <v>89.8</v>
      </c>
      <c r="F324" s="7">
        <v>88.66</v>
      </c>
      <c r="G324" s="7">
        <v>89.12</v>
      </c>
      <c r="H324" s="7"/>
      <c r="I324" s="7">
        <v>89.12</v>
      </c>
    </row>
    <row r="325" s="1" customFormat="1" ht="14" customHeight="1" spans="1:9">
      <c r="A325" s="6">
        <v>322</v>
      </c>
      <c r="B325" s="6" t="s">
        <v>58</v>
      </c>
      <c r="C325" s="6" t="str">
        <f>"张梦楠"</f>
        <v>张梦楠</v>
      </c>
      <c r="D325" s="6" t="str">
        <f>"20200105129"</f>
        <v>20200105129</v>
      </c>
      <c r="E325" s="7">
        <v>89.65</v>
      </c>
      <c r="F325" s="7">
        <v>88.04</v>
      </c>
      <c r="G325" s="7">
        <v>88.68</v>
      </c>
      <c r="H325" s="7"/>
      <c r="I325" s="7">
        <v>88.68</v>
      </c>
    </row>
    <row r="326" s="1" customFormat="1" ht="14" customHeight="1" spans="1:9">
      <c r="A326" s="6">
        <v>323</v>
      </c>
      <c r="B326" s="6" t="s">
        <v>58</v>
      </c>
      <c r="C326" s="6" t="str">
        <f>"夏艺"</f>
        <v>夏艺</v>
      </c>
      <c r="D326" s="6" t="str">
        <f>"20200104311"</f>
        <v>20200104311</v>
      </c>
      <c r="E326" s="7">
        <v>92.65</v>
      </c>
      <c r="F326" s="7">
        <v>85.02</v>
      </c>
      <c r="G326" s="7">
        <v>88.07</v>
      </c>
      <c r="H326" s="7"/>
      <c r="I326" s="7">
        <v>88.07</v>
      </c>
    </row>
    <row r="327" s="1" customFormat="1" ht="14" customHeight="1" spans="1:9">
      <c r="A327" s="6">
        <v>324</v>
      </c>
      <c r="B327" s="6" t="s">
        <v>58</v>
      </c>
      <c r="C327" s="6" t="str">
        <f>"李伟哲"</f>
        <v>李伟哲</v>
      </c>
      <c r="D327" s="6" t="str">
        <f>"20200105106"</f>
        <v>20200105106</v>
      </c>
      <c r="E327" s="7">
        <v>88.85</v>
      </c>
      <c r="F327" s="7">
        <v>86.34</v>
      </c>
      <c r="G327" s="7">
        <v>87.34</v>
      </c>
      <c r="H327" s="7"/>
      <c r="I327" s="7">
        <v>87.34</v>
      </c>
    </row>
    <row r="328" s="1" customFormat="1" ht="14" customHeight="1" spans="1:9">
      <c r="A328" s="6">
        <v>325</v>
      </c>
      <c r="B328" s="6" t="s">
        <v>58</v>
      </c>
      <c r="C328" s="6" t="str">
        <f>"李洪"</f>
        <v>李洪</v>
      </c>
      <c r="D328" s="6" t="str">
        <f>"20200104304"</f>
        <v>20200104304</v>
      </c>
      <c r="E328" s="7">
        <v>89.15</v>
      </c>
      <c r="F328" s="7">
        <v>85.41</v>
      </c>
      <c r="G328" s="7">
        <v>86.91</v>
      </c>
      <c r="H328" s="7"/>
      <c r="I328" s="7">
        <v>86.91</v>
      </c>
    </row>
    <row r="329" s="1" customFormat="1" ht="14" customHeight="1" spans="1:9">
      <c r="A329" s="6">
        <v>326</v>
      </c>
      <c r="B329" s="6" t="s">
        <v>58</v>
      </c>
      <c r="C329" s="6" t="str">
        <f>"李义男"</f>
        <v>李义男</v>
      </c>
      <c r="D329" s="6" t="str">
        <f>"20200104819"</f>
        <v>20200104819</v>
      </c>
      <c r="E329" s="7">
        <v>85.35</v>
      </c>
      <c r="F329" s="7">
        <v>87.62</v>
      </c>
      <c r="G329" s="7">
        <v>86.71</v>
      </c>
      <c r="H329" s="7"/>
      <c r="I329" s="7">
        <v>86.71</v>
      </c>
    </row>
    <row r="330" s="1" customFormat="1" ht="14" customHeight="1" spans="1:9">
      <c r="A330" s="6">
        <v>327</v>
      </c>
      <c r="B330" s="6" t="s">
        <v>58</v>
      </c>
      <c r="C330" s="6" t="str">
        <f>"马晨阳"</f>
        <v>马晨阳</v>
      </c>
      <c r="D330" s="6" t="str">
        <f>"20200104221"</f>
        <v>20200104221</v>
      </c>
      <c r="E330" s="7">
        <v>86.8</v>
      </c>
      <c r="F330" s="7">
        <v>86.28</v>
      </c>
      <c r="G330" s="7">
        <v>86.49</v>
      </c>
      <c r="H330" s="7"/>
      <c r="I330" s="7">
        <v>86.49</v>
      </c>
    </row>
    <row r="331" s="1" customFormat="1" ht="14" customHeight="1" spans="1:9">
      <c r="A331" s="6">
        <v>328</v>
      </c>
      <c r="B331" s="6" t="s">
        <v>58</v>
      </c>
      <c r="C331" s="6" t="str">
        <f>"焦超超"</f>
        <v>焦超超</v>
      </c>
      <c r="D331" s="6" t="str">
        <f>"20200104229"</f>
        <v>20200104229</v>
      </c>
      <c r="E331" s="7">
        <v>90.85</v>
      </c>
      <c r="F331" s="7">
        <v>82.68</v>
      </c>
      <c r="G331" s="7">
        <v>85.95</v>
      </c>
      <c r="H331" s="7"/>
      <c r="I331" s="7">
        <v>85.95</v>
      </c>
    </row>
    <row r="332" s="1" customFormat="1" ht="14" customHeight="1" spans="1:9">
      <c r="A332" s="6">
        <v>329</v>
      </c>
      <c r="B332" s="6" t="s">
        <v>58</v>
      </c>
      <c r="C332" s="6" t="str">
        <f>"宋艳莹"</f>
        <v>宋艳莹</v>
      </c>
      <c r="D332" s="6" t="str">
        <f>"20200104619"</f>
        <v>20200104619</v>
      </c>
      <c r="E332" s="7">
        <v>83.9</v>
      </c>
      <c r="F332" s="7">
        <v>84.68</v>
      </c>
      <c r="G332" s="7">
        <v>84.37</v>
      </c>
      <c r="H332" s="7"/>
      <c r="I332" s="7">
        <v>84.37</v>
      </c>
    </row>
    <row r="333" s="1" customFormat="1" ht="14" customHeight="1" spans="1:9">
      <c r="A333" s="6">
        <v>330</v>
      </c>
      <c r="B333" s="6" t="s">
        <v>58</v>
      </c>
      <c r="C333" s="6" t="str">
        <f>"张曼丽"</f>
        <v>张曼丽</v>
      </c>
      <c r="D333" s="6" t="str">
        <f>"20200104130"</f>
        <v>20200104130</v>
      </c>
      <c r="E333" s="7">
        <v>83.8</v>
      </c>
      <c r="F333" s="7">
        <v>84.21</v>
      </c>
      <c r="G333" s="7">
        <v>84.05</v>
      </c>
      <c r="H333" s="7"/>
      <c r="I333" s="7">
        <v>84.05</v>
      </c>
    </row>
    <row r="334" s="1" customFormat="1" ht="14" customHeight="1" spans="1:9">
      <c r="A334" s="6">
        <v>331</v>
      </c>
      <c r="B334" s="6" t="s">
        <v>58</v>
      </c>
      <c r="C334" s="6" t="str">
        <f>"李昌效"</f>
        <v>李昌效</v>
      </c>
      <c r="D334" s="6" t="str">
        <f>"20200104126"</f>
        <v>20200104126</v>
      </c>
      <c r="E334" s="7">
        <v>84.95</v>
      </c>
      <c r="F334" s="7">
        <v>82.97</v>
      </c>
      <c r="G334" s="7">
        <v>83.76</v>
      </c>
      <c r="H334" s="7"/>
      <c r="I334" s="7">
        <v>83.76</v>
      </c>
    </row>
    <row r="335" s="1" customFormat="1" ht="14" customHeight="1" spans="1:9">
      <c r="A335" s="6">
        <v>332</v>
      </c>
      <c r="B335" s="6" t="s">
        <v>58</v>
      </c>
      <c r="C335" s="6" t="str">
        <f>"张鹏杰"</f>
        <v>张鹏杰</v>
      </c>
      <c r="D335" s="6" t="str">
        <f>"20200104112"</f>
        <v>20200104112</v>
      </c>
      <c r="E335" s="7">
        <v>83</v>
      </c>
      <c r="F335" s="7">
        <v>84.02</v>
      </c>
      <c r="G335" s="7">
        <v>83.61</v>
      </c>
      <c r="H335" s="7"/>
      <c r="I335" s="7">
        <v>83.61</v>
      </c>
    </row>
    <row r="336" s="1" customFormat="1" ht="14" customHeight="1" spans="1:9">
      <c r="A336" s="6">
        <v>333</v>
      </c>
      <c r="B336" s="6" t="s">
        <v>59</v>
      </c>
      <c r="C336" s="6" t="str">
        <f>"江硕"</f>
        <v>江硕</v>
      </c>
      <c r="D336" s="6" t="str">
        <f>"20200104626"</f>
        <v>20200104626</v>
      </c>
      <c r="E336" s="7">
        <v>101.75</v>
      </c>
      <c r="F336" s="7">
        <v>89.83</v>
      </c>
      <c r="G336" s="7">
        <v>94.6</v>
      </c>
      <c r="H336" s="7"/>
      <c r="I336" s="7">
        <v>94.6</v>
      </c>
    </row>
    <row r="337" s="1" customFormat="1" ht="14" customHeight="1" spans="1:9">
      <c r="A337" s="6">
        <v>334</v>
      </c>
      <c r="B337" s="6" t="s">
        <v>59</v>
      </c>
      <c r="C337" s="6" t="str">
        <f>"张冬"</f>
        <v>张冬</v>
      </c>
      <c r="D337" s="6" t="str">
        <f>"20200105016"</f>
        <v>20200105016</v>
      </c>
      <c r="E337" s="7">
        <v>97.4</v>
      </c>
      <c r="F337" s="7">
        <v>89.59</v>
      </c>
      <c r="G337" s="7">
        <v>92.71</v>
      </c>
      <c r="H337" s="7"/>
      <c r="I337" s="7">
        <v>92.71</v>
      </c>
    </row>
    <row r="338" s="1" customFormat="1" ht="14" customHeight="1" spans="1:9">
      <c r="A338" s="6">
        <v>335</v>
      </c>
      <c r="B338" s="6" t="s">
        <v>59</v>
      </c>
      <c r="C338" s="6" t="str">
        <f>"孟敬"</f>
        <v>孟敬</v>
      </c>
      <c r="D338" s="6" t="str">
        <f>"20200104502"</f>
        <v>20200104502</v>
      </c>
      <c r="E338" s="7">
        <v>91.5</v>
      </c>
      <c r="F338" s="7">
        <v>92.99</v>
      </c>
      <c r="G338" s="7">
        <v>92.39</v>
      </c>
      <c r="H338" s="7"/>
      <c r="I338" s="7">
        <v>92.39</v>
      </c>
    </row>
    <row r="339" s="1" customFormat="1" ht="14" customHeight="1" spans="1:9">
      <c r="A339" s="6">
        <v>336</v>
      </c>
      <c r="B339" s="6" t="s">
        <v>59</v>
      </c>
      <c r="C339" s="6" t="str">
        <f>"郭超"</f>
        <v>郭超</v>
      </c>
      <c r="D339" s="6" t="str">
        <f>"20200104714"</f>
        <v>20200104714</v>
      </c>
      <c r="E339" s="7">
        <v>88.45</v>
      </c>
      <c r="F339" s="7">
        <v>94.56</v>
      </c>
      <c r="G339" s="7">
        <v>92.12</v>
      </c>
      <c r="H339" s="7"/>
      <c r="I339" s="7">
        <v>92.12</v>
      </c>
    </row>
    <row r="340" s="1" customFormat="1" ht="14" customHeight="1" spans="1:9">
      <c r="A340" s="6">
        <v>337</v>
      </c>
      <c r="B340" s="6" t="s">
        <v>59</v>
      </c>
      <c r="C340" s="6" t="str">
        <f>"陆星星"</f>
        <v>陆星星</v>
      </c>
      <c r="D340" s="6" t="str">
        <f>"20200104707"</f>
        <v>20200104707</v>
      </c>
      <c r="E340" s="7">
        <v>94</v>
      </c>
      <c r="F340" s="7">
        <v>90.3</v>
      </c>
      <c r="G340" s="7">
        <v>91.78</v>
      </c>
      <c r="H340" s="7"/>
      <c r="I340" s="7">
        <v>91.78</v>
      </c>
    </row>
    <row r="341" s="1" customFormat="1" ht="14" customHeight="1" spans="1:9">
      <c r="A341" s="6">
        <v>338</v>
      </c>
      <c r="B341" s="6" t="s">
        <v>59</v>
      </c>
      <c r="C341" s="6" t="str">
        <f>"王乐勇"</f>
        <v>王乐勇</v>
      </c>
      <c r="D341" s="6" t="str">
        <f>"20200104305"</f>
        <v>20200104305</v>
      </c>
      <c r="E341" s="7">
        <v>97.7</v>
      </c>
      <c r="F341" s="7">
        <v>87.36</v>
      </c>
      <c r="G341" s="7">
        <v>91.5</v>
      </c>
      <c r="H341" s="7"/>
      <c r="I341" s="7">
        <v>91.5</v>
      </c>
    </row>
    <row r="342" s="1" customFormat="1" ht="14" customHeight="1" spans="1:9">
      <c r="A342" s="6">
        <v>339</v>
      </c>
      <c r="B342" s="6" t="s">
        <v>59</v>
      </c>
      <c r="C342" s="6" t="str">
        <f>"童蕊蕊"</f>
        <v>童蕊蕊</v>
      </c>
      <c r="D342" s="6" t="str">
        <f>"20200104514"</f>
        <v>20200104514</v>
      </c>
      <c r="E342" s="7">
        <v>87.2</v>
      </c>
      <c r="F342" s="7">
        <v>94.3</v>
      </c>
      <c r="G342" s="7">
        <v>91.46</v>
      </c>
      <c r="H342" s="7"/>
      <c r="I342" s="7">
        <v>91.46</v>
      </c>
    </row>
    <row r="343" s="1" customFormat="1" ht="14" customHeight="1" spans="1:9">
      <c r="A343" s="6">
        <v>340</v>
      </c>
      <c r="B343" s="6" t="s">
        <v>59</v>
      </c>
      <c r="C343" s="6" t="str">
        <f>"张虎"</f>
        <v>张虎</v>
      </c>
      <c r="D343" s="6" t="str">
        <f>"20200104314"</f>
        <v>20200104314</v>
      </c>
      <c r="E343" s="7">
        <v>96.15</v>
      </c>
      <c r="F343" s="7">
        <v>87.15</v>
      </c>
      <c r="G343" s="7">
        <v>90.75</v>
      </c>
      <c r="H343" s="7"/>
      <c r="I343" s="7">
        <v>90.75</v>
      </c>
    </row>
    <row r="344" s="1" customFormat="1" ht="14" customHeight="1" spans="1:9">
      <c r="A344" s="6">
        <v>341</v>
      </c>
      <c r="B344" s="6" t="s">
        <v>59</v>
      </c>
      <c r="C344" s="6" t="str">
        <f>"赵朵朵"</f>
        <v>赵朵朵</v>
      </c>
      <c r="D344" s="6" t="str">
        <f>"20200105104"</f>
        <v>20200105104</v>
      </c>
      <c r="E344" s="7">
        <v>87.65</v>
      </c>
      <c r="F344" s="7">
        <v>92.16</v>
      </c>
      <c r="G344" s="7">
        <v>90.36</v>
      </c>
      <c r="H344" s="7"/>
      <c r="I344" s="7">
        <v>90.36</v>
      </c>
    </row>
    <row r="345" s="1" customFormat="1" ht="14" customHeight="1" spans="1:9">
      <c r="A345" s="6">
        <v>342</v>
      </c>
      <c r="B345" s="6" t="s">
        <v>59</v>
      </c>
      <c r="C345" s="6" t="str">
        <f>"谢珍"</f>
        <v>谢珍</v>
      </c>
      <c r="D345" s="6" t="str">
        <f>"20200212215"</f>
        <v>20200212215</v>
      </c>
      <c r="E345" s="7">
        <v>93.3</v>
      </c>
      <c r="F345" s="7">
        <v>88.29</v>
      </c>
      <c r="G345" s="7">
        <v>90.29</v>
      </c>
      <c r="H345" s="7"/>
      <c r="I345" s="7">
        <v>90.29</v>
      </c>
    </row>
    <row r="346" s="1" customFormat="1" ht="14" customHeight="1" spans="1:9">
      <c r="A346" s="6">
        <v>343</v>
      </c>
      <c r="B346" s="6" t="s">
        <v>59</v>
      </c>
      <c r="C346" s="6" t="str">
        <f>"刘丹"</f>
        <v>刘丹</v>
      </c>
      <c r="D346" s="6" t="str">
        <f>"20200212217"</f>
        <v>20200212217</v>
      </c>
      <c r="E346" s="7">
        <v>91.45</v>
      </c>
      <c r="F346" s="7">
        <v>89.24</v>
      </c>
      <c r="G346" s="7">
        <v>90.12</v>
      </c>
      <c r="H346" s="7"/>
      <c r="I346" s="7">
        <v>90.12</v>
      </c>
    </row>
    <row r="347" s="1" customFormat="1" ht="14" customHeight="1" spans="1:9">
      <c r="A347" s="6">
        <v>344</v>
      </c>
      <c r="B347" s="6" t="s">
        <v>59</v>
      </c>
      <c r="C347" s="6" t="str">
        <f>"刘俊峰"</f>
        <v>刘俊峰</v>
      </c>
      <c r="D347" s="6" t="str">
        <f>"20200104915"</f>
        <v>20200104915</v>
      </c>
      <c r="E347" s="7">
        <v>94.75</v>
      </c>
      <c r="F347" s="7">
        <v>86.72</v>
      </c>
      <c r="G347" s="7">
        <v>89.93</v>
      </c>
      <c r="H347" s="7"/>
      <c r="I347" s="7">
        <v>89.93</v>
      </c>
    </row>
    <row r="348" s="1" customFormat="1" ht="14" customHeight="1" spans="1:9">
      <c r="A348" s="6">
        <v>345</v>
      </c>
      <c r="B348" s="6" t="s">
        <v>60</v>
      </c>
      <c r="C348" s="6" t="str">
        <f>"袁园"</f>
        <v>袁园</v>
      </c>
      <c r="D348" s="6" t="str">
        <f>"20200103224"</f>
        <v>20200103224</v>
      </c>
      <c r="E348" s="7">
        <v>101</v>
      </c>
      <c r="F348" s="7">
        <v>101</v>
      </c>
      <c r="G348" s="7">
        <v>101</v>
      </c>
      <c r="H348" s="7"/>
      <c r="I348" s="7">
        <v>101</v>
      </c>
    </row>
    <row r="349" s="1" customFormat="1" ht="14" customHeight="1" spans="1:9">
      <c r="A349" s="6">
        <v>346</v>
      </c>
      <c r="B349" s="6" t="s">
        <v>60</v>
      </c>
      <c r="C349" s="6" t="str">
        <f>"袁圆"</f>
        <v>袁圆</v>
      </c>
      <c r="D349" s="6" t="str">
        <f>"20200102517"</f>
        <v>20200102517</v>
      </c>
      <c r="E349" s="7">
        <v>97.85</v>
      </c>
      <c r="F349" s="7">
        <v>102.76</v>
      </c>
      <c r="G349" s="7">
        <v>100.8</v>
      </c>
      <c r="H349" s="7"/>
      <c r="I349" s="7">
        <v>100.8</v>
      </c>
    </row>
    <row r="350" s="1" customFormat="1" ht="14" customHeight="1" spans="1:9">
      <c r="A350" s="6">
        <v>347</v>
      </c>
      <c r="B350" s="6" t="s">
        <v>60</v>
      </c>
      <c r="C350" s="6" t="str">
        <f>"李欣婷"</f>
        <v>李欣婷</v>
      </c>
      <c r="D350" s="6" t="str">
        <f>"20200103821"</f>
        <v>20200103821</v>
      </c>
      <c r="E350" s="7">
        <v>95.15</v>
      </c>
      <c r="F350" s="7">
        <v>104.44</v>
      </c>
      <c r="G350" s="7">
        <v>100.72</v>
      </c>
      <c r="H350" s="7"/>
      <c r="I350" s="7">
        <v>100.72</v>
      </c>
    </row>
    <row r="351" s="1" customFormat="1" ht="14" customHeight="1" spans="1:9">
      <c r="A351" s="6">
        <v>348</v>
      </c>
      <c r="B351" s="6" t="s">
        <v>60</v>
      </c>
      <c r="C351" s="6" t="str">
        <f>"尚蕊蕊"</f>
        <v>尚蕊蕊</v>
      </c>
      <c r="D351" s="6" t="str">
        <f>"20200103326"</f>
        <v>20200103326</v>
      </c>
      <c r="E351" s="7">
        <v>102.7</v>
      </c>
      <c r="F351" s="7">
        <v>97.98</v>
      </c>
      <c r="G351" s="7">
        <v>99.87</v>
      </c>
      <c r="H351" s="7"/>
      <c r="I351" s="7">
        <v>99.87</v>
      </c>
    </row>
    <row r="352" s="1" customFormat="1" ht="14" customHeight="1" spans="1:9">
      <c r="A352" s="6">
        <v>349</v>
      </c>
      <c r="B352" s="6" t="s">
        <v>60</v>
      </c>
      <c r="C352" s="6" t="str">
        <f>"王路路"</f>
        <v>王路路</v>
      </c>
      <c r="D352" s="6" t="str">
        <f>"20200102503"</f>
        <v>20200102503</v>
      </c>
      <c r="E352" s="7">
        <v>94.75</v>
      </c>
      <c r="F352" s="7">
        <v>103.05</v>
      </c>
      <c r="G352" s="7">
        <v>99.73</v>
      </c>
      <c r="H352" s="7"/>
      <c r="I352" s="7">
        <v>99.73</v>
      </c>
    </row>
    <row r="353" s="1" customFormat="1" ht="14" customHeight="1" spans="1:9">
      <c r="A353" s="6">
        <v>350</v>
      </c>
      <c r="B353" s="6" t="s">
        <v>60</v>
      </c>
      <c r="C353" s="6" t="str">
        <f>"郭笑"</f>
        <v>郭笑</v>
      </c>
      <c r="D353" s="6" t="str">
        <f>"20200102201"</f>
        <v>20200102201</v>
      </c>
      <c r="E353" s="7">
        <v>95.15</v>
      </c>
      <c r="F353" s="7">
        <v>102.45</v>
      </c>
      <c r="G353" s="7">
        <v>99.53</v>
      </c>
      <c r="H353" s="7"/>
      <c r="I353" s="7">
        <v>99.53</v>
      </c>
    </row>
    <row r="354" s="1" customFormat="1" ht="14" customHeight="1" spans="1:9">
      <c r="A354" s="6">
        <v>351</v>
      </c>
      <c r="B354" s="6" t="s">
        <v>60</v>
      </c>
      <c r="C354" s="6" t="str">
        <f>"胡雪艳"</f>
        <v>胡雪艳</v>
      </c>
      <c r="D354" s="6" t="str">
        <f>"20200103123"</f>
        <v>20200103123</v>
      </c>
      <c r="E354" s="7">
        <v>101.4</v>
      </c>
      <c r="F354" s="7">
        <v>98.11</v>
      </c>
      <c r="G354" s="7">
        <v>99.43</v>
      </c>
      <c r="H354" s="7"/>
      <c r="I354" s="7">
        <v>99.43</v>
      </c>
    </row>
    <row r="355" s="1" customFormat="1" ht="14" customHeight="1" spans="1:9">
      <c r="A355" s="6">
        <v>352</v>
      </c>
      <c r="B355" s="6" t="s">
        <v>60</v>
      </c>
      <c r="C355" s="6" t="str">
        <f>"姜力"</f>
        <v>姜力</v>
      </c>
      <c r="D355" s="6" t="str">
        <f>"20200103514"</f>
        <v>20200103514</v>
      </c>
      <c r="E355" s="7">
        <v>99.35</v>
      </c>
      <c r="F355" s="7">
        <v>98.91</v>
      </c>
      <c r="G355" s="7">
        <v>99.09</v>
      </c>
      <c r="H355" s="7"/>
      <c r="I355" s="7">
        <v>99.09</v>
      </c>
    </row>
    <row r="356" s="1" customFormat="1" ht="14" customHeight="1" spans="1:9">
      <c r="A356" s="6">
        <v>353</v>
      </c>
      <c r="B356" s="6" t="s">
        <v>60</v>
      </c>
      <c r="C356" s="6" t="str">
        <f>"王健"</f>
        <v>王健</v>
      </c>
      <c r="D356" s="6" t="str">
        <f>"20200102910"</f>
        <v>20200102910</v>
      </c>
      <c r="E356" s="7">
        <v>96.45</v>
      </c>
      <c r="F356" s="7">
        <v>99.03</v>
      </c>
      <c r="G356" s="7">
        <v>98</v>
      </c>
      <c r="H356" s="7"/>
      <c r="I356" s="7">
        <v>98</v>
      </c>
    </row>
    <row r="357" s="1" customFormat="1" ht="14" customHeight="1" spans="1:9">
      <c r="A357" s="6">
        <v>354</v>
      </c>
      <c r="B357" s="6" t="s">
        <v>60</v>
      </c>
      <c r="C357" s="6" t="str">
        <f>"黄冰冰"</f>
        <v>黄冰冰</v>
      </c>
      <c r="D357" s="6" t="str">
        <f>"20200103529"</f>
        <v>20200103529</v>
      </c>
      <c r="E357" s="7">
        <v>96.4</v>
      </c>
      <c r="F357" s="7">
        <v>98.59</v>
      </c>
      <c r="G357" s="7">
        <v>97.71</v>
      </c>
      <c r="H357" s="7"/>
      <c r="I357" s="7">
        <v>97.71</v>
      </c>
    </row>
    <row r="358" s="1" customFormat="1" ht="14" customHeight="1" spans="1:9">
      <c r="A358" s="6">
        <v>355</v>
      </c>
      <c r="B358" s="6" t="s">
        <v>60</v>
      </c>
      <c r="C358" s="6" t="str">
        <f>"杜敏"</f>
        <v>杜敏</v>
      </c>
      <c r="D358" s="6" t="str">
        <f>"20200103207"</f>
        <v>20200103207</v>
      </c>
      <c r="E358" s="7">
        <v>99.6</v>
      </c>
      <c r="F358" s="7">
        <v>96.23</v>
      </c>
      <c r="G358" s="7">
        <v>97.58</v>
      </c>
      <c r="H358" s="7"/>
      <c r="I358" s="7">
        <v>97.58</v>
      </c>
    </row>
    <row r="359" s="1" customFormat="1" ht="14" customHeight="1" spans="1:9">
      <c r="A359" s="6">
        <v>356</v>
      </c>
      <c r="B359" s="6" t="s">
        <v>60</v>
      </c>
      <c r="C359" s="6" t="str">
        <f>"詹玉文"</f>
        <v>詹玉文</v>
      </c>
      <c r="D359" s="6" t="str">
        <f>"20200102828"</f>
        <v>20200102828</v>
      </c>
      <c r="E359" s="7">
        <v>97.8</v>
      </c>
      <c r="F359" s="7">
        <v>96.76</v>
      </c>
      <c r="G359" s="7">
        <v>97.18</v>
      </c>
      <c r="H359" s="7"/>
      <c r="I359" s="7">
        <v>97.18</v>
      </c>
    </row>
    <row r="360" s="1" customFormat="1" ht="14" customHeight="1" spans="1:9">
      <c r="A360" s="6">
        <v>357</v>
      </c>
      <c r="B360" s="6" t="s">
        <v>60</v>
      </c>
      <c r="C360" s="6" t="str">
        <f>"纪跃男"</f>
        <v>纪跃男</v>
      </c>
      <c r="D360" s="6" t="str">
        <f>"20200103103"</f>
        <v>20200103103</v>
      </c>
      <c r="E360" s="7">
        <v>93.25</v>
      </c>
      <c r="F360" s="7">
        <v>99.09</v>
      </c>
      <c r="G360" s="7">
        <v>96.75</v>
      </c>
      <c r="H360" s="7"/>
      <c r="I360" s="7">
        <v>96.75</v>
      </c>
    </row>
    <row r="361" s="1" customFormat="1" ht="14" customHeight="1" spans="1:9">
      <c r="A361" s="6">
        <v>358</v>
      </c>
      <c r="B361" s="6" t="s">
        <v>60</v>
      </c>
      <c r="C361" s="6" t="str">
        <f>"高志远"</f>
        <v>高志远</v>
      </c>
      <c r="D361" s="6" t="str">
        <f>"20200208627"</f>
        <v>20200208627</v>
      </c>
      <c r="E361" s="7">
        <v>94.25</v>
      </c>
      <c r="F361" s="7">
        <v>98.11</v>
      </c>
      <c r="G361" s="7">
        <v>96.57</v>
      </c>
      <c r="H361" s="7"/>
      <c r="I361" s="7">
        <v>96.57</v>
      </c>
    </row>
    <row r="362" s="1" customFormat="1" ht="14" customHeight="1" spans="1:9">
      <c r="A362" s="6">
        <v>359</v>
      </c>
      <c r="B362" s="6" t="s">
        <v>61</v>
      </c>
      <c r="C362" s="6" t="str">
        <f>"张珊珊"</f>
        <v>张珊珊</v>
      </c>
      <c r="D362" s="6" t="str">
        <f>"20200102419"</f>
        <v>20200102419</v>
      </c>
      <c r="E362" s="7">
        <v>99.65</v>
      </c>
      <c r="F362" s="7">
        <v>101.35</v>
      </c>
      <c r="G362" s="7">
        <v>100.67</v>
      </c>
      <c r="H362" s="7"/>
      <c r="I362" s="7">
        <v>100.67</v>
      </c>
    </row>
    <row r="363" s="1" customFormat="1" ht="14" customHeight="1" spans="1:9">
      <c r="A363" s="6">
        <v>360</v>
      </c>
      <c r="B363" s="6" t="s">
        <v>61</v>
      </c>
      <c r="C363" s="6" t="str">
        <f>"殷双玲"</f>
        <v>殷双玲</v>
      </c>
      <c r="D363" s="6" t="str">
        <f>"20200103110"</f>
        <v>20200103110</v>
      </c>
      <c r="E363" s="7">
        <v>99.45</v>
      </c>
      <c r="F363" s="7">
        <v>100.69</v>
      </c>
      <c r="G363" s="7">
        <v>100.19</v>
      </c>
      <c r="H363" s="7"/>
      <c r="I363" s="7">
        <v>100.19</v>
      </c>
    </row>
    <row r="364" s="1" customFormat="1" ht="14" customHeight="1" spans="1:9">
      <c r="A364" s="6">
        <v>361</v>
      </c>
      <c r="B364" s="6" t="s">
        <v>61</v>
      </c>
      <c r="C364" s="6" t="str">
        <f>"刘昕懿"</f>
        <v>刘昕懿</v>
      </c>
      <c r="D364" s="6" t="str">
        <f>"20200103614"</f>
        <v>20200103614</v>
      </c>
      <c r="E364" s="7">
        <v>98.65</v>
      </c>
      <c r="F364" s="7">
        <v>100.76</v>
      </c>
      <c r="G364" s="7">
        <v>99.92</v>
      </c>
      <c r="H364" s="7"/>
      <c r="I364" s="7">
        <v>99.92</v>
      </c>
    </row>
    <row r="365" s="1" customFormat="1" ht="14" customHeight="1" spans="1:9">
      <c r="A365" s="6">
        <v>362</v>
      </c>
      <c r="B365" s="6" t="s">
        <v>61</v>
      </c>
      <c r="C365" s="6" t="str">
        <f>"赵允芳"</f>
        <v>赵允芳</v>
      </c>
      <c r="D365" s="6" t="str">
        <f>"20200104030"</f>
        <v>20200104030</v>
      </c>
      <c r="E365" s="7">
        <v>95.95</v>
      </c>
      <c r="F365" s="7">
        <v>102.29</v>
      </c>
      <c r="G365" s="7">
        <v>99.75</v>
      </c>
      <c r="H365" s="7"/>
      <c r="I365" s="7">
        <v>99.75</v>
      </c>
    </row>
    <row r="366" s="1" customFormat="1" ht="14" customHeight="1" spans="1:9">
      <c r="A366" s="6">
        <v>363</v>
      </c>
      <c r="B366" s="6" t="s">
        <v>61</v>
      </c>
      <c r="C366" s="6" t="str">
        <f>"姜玉莹"</f>
        <v>姜玉莹</v>
      </c>
      <c r="D366" s="6" t="str">
        <f>"20200103705"</f>
        <v>20200103705</v>
      </c>
      <c r="E366" s="7">
        <v>97.1</v>
      </c>
      <c r="F366" s="7">
        <v>101.18</v>
      </c>
      <c r="G366" s="7">
        <v>99.55</v>
      </c>
      <c r="H366" s="7"/>
      <c r="I366" s="7">
        <v>99.55</v>
      </c>
    </row>
    <row r="367" s="1" customFormat="1" ht="14" customHeight="1" spans="1:9">
      <c r="A367" s="6">
        <v>364</v>
      </c>
      <c r="B367" s="6" t="s">
        <v>61</v>
      </c>
      <c r="C367" s="6" t="str">
        <f>"刘若雨"</f>
        <v>刘若雨</v>
      </c>
      <c r="D367" s="6" t="str">
        <f>"20200102430"</f>
        <v>20200102430</v>
      </c>
      <c r="E367" s="7">
        <v>98.5</v>
      </c>
      <c r="F367" s="7">
        <v>99.96</v>
      </c>
      <c r="G367" s="7">
        <v>99.38</v>
      </c>
      <c r="H367" s="7"/>
      <c r="I367" s="7">
        <v>99.38</v>
      </c>
    </row>
    <row r="368" s="1" customFormat="1" ht="14" customHeight="1" spans="1:9">
      <c r="A368" s="6">
        <v>365</v>
      </c>
      <c r="B368" s="6" t="s">
        <v>61</v>
      </c>
      <c r="C368" s="6" t="str">
        <f>"朱晓燕"</f>
        <v>朱晓燕</v>
      </c>
      <c r="D368" s="6" t="str">
        <f>"20200103517"</f>
        <v>20200103517</v>
      </c>
      <c r="E368" s="7">
        <v>97.9</v>
      </c>
      <c r="F368" s="7">
        <v>100.35</v>
      </c>
      <c r="G368" s="7">
        <v>99.37</v>
      </c>
      <c r="H368" s="7"/>
      <c r="I368" s="7">
        <v>99.37</v>
      </c>
    </row>
    <row r="369" s="1" customFormat="1" ht="14" customHeight="1" spans="1:9">
      <c r="A369" s="6">
        <v>366</v>
      </c>
      <c r="B369" s="6" t="s">
        <v>61</v>
      </c>
      <c r="C369" s="6" t="str">
        <f>"转雪莉"</f>
        <v>转雪莉</v>
      </c>
      <c r="D369" s="6" t="str">
        <f>"20200102919"</f>
        <v>20200102919</v>
      </c>
      <c r="E369" s="7">
        <v>101.4</v>
      </c>
      <c r="F369" s="7">
        <v>97.01</v>
      </c>
      <c r="G369" s="7">
        <v>98.77</v>
      </c>
      <c r="H369" s="7"/>
      <c r="I369" s="7">
        <v>98.77</v>
      </c>
    </row>
    <row r="370" s="1" customFormat="1" ht="14" customHeight="1" spans="1:9">
      <c r="A370" s="6">
        <v>367</v>
      </c>
      <c r="B370" s="6" t="s">
        <v>61</v>
      </c>
      <c r="C370" s="6" t="str">
        <f>"江美玉"</f>
        <v>江美玉</v>
      </c>
      <c r="D370" s="6" t="str">
        <f>"20200103605"</f>
        <v>20200103605</v>
      </c>
      <c r="E370" s="7">
        <v>94.45</v>
      </c>
      <c r="F370" s="7">
        <v>100.3</v>
      </c>
      <c r="G370" s="7">
        <v>97.96</v>
      </c>
      <c r="H370" s="7"/>
      <c r="I370" s="7">
        <v>97.96</v>
      </c>
    </row>
    <row r="371" s="1" customFormat="1" ht="14" customHeight="1" spans="1:9">
      <c r="A371" s="6">
        <v>368</v>
      </c>
      <c r="B371" s="6" t="s">
        <v>61</v>
      </c>
      <c r="C371" s="6" t="str">
        <f>"杜晓彤"</f>
        <v>杜晓彤</v>
      </c>
      <c r="D371" s="6" t="str">
        <f>"20200103907"</f>
        <v>20200103907</v>
      </c>
      <c r="E371" s="7">
        <v>94.65</v>
      </c>
      <c r="F371" s="7">
        <v>99.67</v>
      </c>
      <c r="G371" s="7">
        <v>97.66</v>
      </c>
      <c r="H371" s="7"/>
      <c r="I371" s="7">
        <v>97.66</v>
      </c>
    </row>
    <row r="372" s="1" customFormat="1" ht="14" customHeight="1" spans="1:9">
      <c r="A372" s="6">
        <v>369</v>
      </c>
      <c r="B372" s="6" t="s">
        <v>61</v>
      </c>
      <c r="C372" s="6" t="str">
        <f>"刘美兰"</f>
        <v>刘美兰</v>
      </c>
      <c r="D372" s="6" t="str">
        <f>"20200102827"</f>
        <v>20200102827</v>
      </c>
      <c r="E372" s="7">
        <v>97.15</v>
      </c>
      <c r="F372" s="7">
        <v>97.9</v>
      </c>
      <c r="G372" s="7">
        <v>97.6</v>
      </c>
      <c r="H372" s="7"/>
      <c r="I372" s="7">
        <v>97.6</v>
      </c>
    </row>
    <row r="373" s="1" customFormat="1" ht="14" customHeight="1" spans="1:9">
      <c r="A373" s="6">
        <v>370</v>
      </c>
      <c r="B373" s="6" t="s">
        <v>61</v>
      </c>
      <c r="C373" s="6" t="str">
        <f>"刘继开"</f>
        <v>刘继开</v>
      </c>
      <c r="D373" s="6" t="str">
        <f>"20200103801"</f>
        <v>20200103801</v>
      </c>
      <c r="E373" s="7">
        <v>96</v>
      </c>
      <c r="F373" s="7">
        <v>98.4</v>
      </c>
      <c r="G373" s="7">
        <v>97.44</v>
      </c>
      <c r="H373" s="7"/>
      <c r="I373" s="7">
        <v>97.44</v>
      </c>
    </row>
    <row r="374" s="1" customFormat="1" ht="14" customHeight="1" spans="1:9">
      <c r="A374" s="6">
        <v>371</v>
      </c>
      <c r="B374" s="6" t="s">
        <v>62</v>
      </c>
      <c r="C374" s="6" t="str">
        <f>"李硕"</f>
        <v>李硕</v>
      </c>
      <c r="D374" s="6" t="str">
        <f>"20200101628"</f>
        <v>20200101628</v>
      </c>
      <c r="E374" s="7">
        <v>97.3</v>
      </c>
      <c r="F374" s="7">
        <v>105.36</v>
      </c>
      <c r="G374" s="7">
        <v>102.14</v>
      </c>
      <c r="H374" s="7"/>
      <c r="I374" s="7">
        <v>102.14</v>
      </c>
    </row>
    <row r="375" s="1" customFormat="1" ht="14" customHeight="1" spans="1:9">
      <c r="A375" s="6">
        <v>372</v>
      </c>
      <c r="B375" s="6" t="s">
        <v>62</v>
      </c>
      <c r="C375" s="6" t="str">
        <f>"田有婧"</f>
        <v>田有婧</v>
      </c>
      <c r="D375" s="6" t="str">
        <f>"20200101613"</f>
        <v>20200101613</v>
      </c>
      <c r="E375" s="7">
        <v>97.35</v>
      </c>
      <c r="F375" s="7">
        <v>100.42</v>
      </c>
      <c r="G375" s="7">
        <v>99.19</v>
      </c>
      <c r="H375" s="7"/>
      <c r="I375" s="7">
        <v>99.19</v>
      </c>
    </row>
    <row r="376" s="1" customFormat="1" ht="14" customHeight="1" spans="1:9">
      <c r="A376" s="6">
        <v>373</v>
      </c>
      <c r="B376" s="6" t="s">
        <v>62</v>
      </c>
      <c r="C376" s="6" t="str">
        <f>"丁家楠"</f>
        <v>丁家楠</v>
      </c>
      <c r="D376" s="6" t="str">
        <f>"20200101909"</f>
        <v>20200101909</v>
      </c>
      <c r="E376" s="7">
        <v>94.7</v>
      </c>
      <c r="F376" s="7">
        <v>96.74</v>
      </c>
      <c r="G376" s="7">
        <v>95.92</v>
      </c>
      <c r="H376" s="7"/>
      <c r="I376" s="7">
        <v>95.92</v>
      </c>
    </row>
    <row r="377" s="1" customFormat="1" ht="14" customHeight="1" spans="1:9">
      <c r="A377" s="6">
        <v>374</v>
      </c>
      <c r="B377" s="6" t="s">
        <v>62</v>
      </c>
      <c r="C377" s="6" t="str">
        <f>"王文娟"</f>
        <v>王文娟</v>
      </c>
      <c r="D377" s="6" t="str">
        <f>"20200101918"</f>
        <v>20200101918</v>
      </c>
      <c r="E377" s="7">
        <v>98.55</v>
      </c>
      <c r="F377" s="7">
        <v>91.06</v>
      </c>
      <c r="G377" s="7">
        <v>94.06</v>
      </c>
      <c r="H377" s="7"/>
      <c r="I377" s="7">
        <v>94.06</v>
      </c>
    </row>
    <row r="378" s="1" customFormat="1" ht="14" customHeight="1" spans="1:9">
      <c r="A378" s="6">
        <v>375</v>
      </c>
      <c r="B378" s="6" t="s">
        <v>62</v>
      </c>
      <c r="C378" s="6" t="str">
        <f>"鲍雨"</f>
        <v>鲍雨</v>
      </c>
      <c r="D378" s="6" t="str">
        <f>"20200102030"</f>
        <v>20200102030</v>
      </c>
      <c r="E378" s="7">
        <v>87.6</v>
      </c>
      <c r="F378" s="7">
        <v>97.38</v>
      </c>
      <c r="G378" s="7">
        <v>93.47</v>
      </c>
      <c r="H378" s="7"/>
      <c r="I378" s="7">
        <v>93.47</v>
      </c>
    </row>
    <row r="379" s="1" customFormat="1" ht="14" customHeight="1" spans="1:9">
      <c r="A379" s="6">
        <v>376</v>
      </c>
      <c r="B379" s="6" t="s">
        <v>62</v>
      </c>
      <c r="C379" s="6" t="str">
        <f>"张楠"</f>
        <v>张楠</v>
      </c>
      <c r="D379" s="6" t="str">
        <f>"20200102111"</f>
        <v>20200102111</v>
      </c>
      <c r="E379" s="7">
        <v>84.65</v>
      </c>
      <c r="F379" s="7">
        <v>98.3</v>
      </c>
      <c r="G379" s="7">
        <v>92.84</v>
      </c>
      <c r="H379" s="7"/>
      <c r="I379" s="7">
        <v>92.84</v>
      </c>
    </row>
    <row r="380" s="1" customFormat="1" ht="14" customHeight="1" spans="1:9">
      <c r="A380" s="6">
        <v>377</v>
      </c>
      <c r="B380" s="6" t="s">
        <v>62</v>
      </c>
      <c r="C380" s="6" t="str">
        <f>"刘梦梅"</f>
        <v>刘梦梅</v>
      </c>
      <c r="D380" s="6" t="str">
        <f>"20200102021"</f>
        <v>20200102021</v>
      </c>
      <c r="E380" s="7">
        <v>82.05</v>
      </c>
      <c r="F380" s="7">
        <v>99.8</v>
      </c>
      <c r="G380" s="7">
        <v>92.7</v>
      </c>
      <c r="H380" s="7"/>
      <c r="I380" s="7">
        <v>92.7</v>
      </c>
    </row>
    <row r="381" s="1" customFormat="1" ht="14" customHeight="1" spans="1:9">
      <c r="A381" s="6">
        <v>378</v>
      </c>
      <c r="B381" s="6" t="s">
        <v>62</v>
      </c>
      <c r="C381" s="6" t="str">
        <f>"杨倩"</f>
        <v>杨倩</v>
      </c>
      <c r="D381" s="6" t="str">
        <f>"20200101510"</f>
        <v>20200101510</v>
      </c>
      <c r="E381" s="7">
        <v>93.55</v>
      </c>
      <c r="F381" s="7">
        <v>91.16</v>
      </c>
      <c r="G381" s="7">
        <v>92.12</v>
      </c>
      <c r="H381" s="7"/>
      <c r="I381" s="7">
        <v>92.12</v>
      </c>
    </row>
    <row r="382" s="1" customFormat="1" ht="14" customHeight="1" spans="1:9">
      <c r="A382" s="6">
        <v>379</v>
      </c>
      <c r="B382" s="6" t="s">
        <v>62</v>
      </c>
      <c r="C382" s="6" t="str">
        <f>"盛琳"</f>
        <v>盛琳</v>
      </c>
      <c r="D382" s="6" t="str">
        <f>"20200101609"</f>
        <v>20200101609</v>
      </c>
      <c r="E382" s="7">
        <v>90.65</v>
      </c>
      <c r="F382" s="7">
        <v>92.82</v>
      </c>
      <c r="G382" s="7">
        <v>91.95</v>
      </c>
      <c r="H382" s="7"/>
      <c r="I382" s="7">
        <v>91.95</v>
      </c>
    </row>
    <row r="383" s="1" customFormat="1" ht="14" customHeight="1" spans="1:9">
      <c r="A383" s="6">
        <v>380</v>
      </c>
      <c r="B383" s="6" t="s">
        <v>62</v>
      </c>
      <c r="C383" s="6" t="str">
        <f>"王镇江"</f>
        <v>王镇江</v>
      </c>
      <c r="D383" s="6" t="str">
        <f>"20200102102"</f>
        <v>20200102102</v>
      </c>
      <c r="E383" s="7">
        <v>84.75</v>
      </c>
      <c r="F383" s="7">
        <v>95.78</v>
      </c>
      <c r="G383" s="7">
        <v>91.37</v>
      </c>
      <c r="H383" s="7"/>
      <c r="I383" s="7">
        <v>91.37</v>
      </c>
    </row>
    <row r="384" s="1" customFormat="1" ht="14" customHeight="1" spans="1:9">
      <c r="A384" s="6">
        <v>381</v>
      </c>
      <c r="B384" s="6" t="s">
        <v>62</v>
      </c>
      <c r="C384" s="6" t="str">
        <f>"刘娟"</f>
        <v>刘娟</v>
      </c>
      <c r="D384" s="6" t="str">
        <f>"20200102108"</f>
        <v>20200102108</v>
      </c>
      <c r="E384" s="7">
        <v>89.9</v>
      </c>
      <c r="F384" s="7">
        <v>91.96</v>
      </c>
      <c r="G384" s="7">
        <v>91.14</v>
      </c>
      <c r="H384" s="7"/>
      <c r="I384" s="7">
        <v>91.14</v>
      </c>
    </row>
    <row r="385" s="1" customFormat="1" ht="14" customHeight="1" spans="1:9">
      <c r="A385" s="6">
        <v>382</v>
      </c>
      <c r="B385" s="6" t="s">
        <v>62</v>
      </c>
      <c r="C385" s="6" t="str">
        <f>"齐振"</f>
        <v>齐振</v>
      </c>
      <c r="D385" s="6" t="str">
        <f>"20200101627"</f>
        <v>20200101627</v>
      </c>
      <c r="E385" s="7">
        <v>89.7</v>
      </c>
      <c r="F385" s="7">
        <v>92.04</v>
      </c>
      <c r="G385" s="7">
        <v>91.1</v>
      </c>
      <c r="H385" s="7"/>
      <c r="I385" s="7">
        <v>91.1</v>
      </c>
    </row>
    <row r="386" s="1" customFormat="1" ht="14" customHeight="1" spans="1:9">
      <c r="A386" s="6">
        <v>383</v>
      </c>
      <c r="B386" s="6" t="s">
        <v>63</v>
      </c>
      <c r="C386" s="6" t="str">
        <f>"梁巧莉"</f>
        <v>梁巧莉</v>
      </c>
      <c r="D386" s="6" t="str">
        <f>"20200101812"</f>
        <v>20200101812</v>
      </c>
      <c r="E386" s="7">
        <v>99.65</v>
      </c>
      <c r="F386" s="7">
        <v>106</v>
      </c>
      <c r="G386" s="7">
        <v>103.46</v>
      </c>
      <c r="H386" s="7"/>
      <c r="I386" s="7">
        <v>103.46</v>
      </c>
    </row>
    <row r="387" s="1" customFormat="1" ht="14" customHeight="1" spans="1:9">
      <c r="A387" s="6">
        <v>384</v>
      </c>
      <c r="B387" s="6" t="s">
        <v>63</v>
      </c>
      <c r="C387" s="6" t="str">
        <f>"苏玲玲"</f>
        <v>苏玲玲</v>
      </c>
      <c r="D387" s="6" t="str">
        <f>"20200101924"</f>
        <v>20200101924</v>
      </c>
      <c r="E387" s="7">
        <v>96.85</v>
      </c>
      <c r="F387" s="7">
        <v>103.08</v>
      </c>
      <c r="G387" s="7">
        <v>100.59</v>
      </c>
      <c r="H387" s="7"/>
      <c r="I387" s="7">
        <v>100.59</v>
      </c>
    </row>
    <row r="388" s="1" customFormat="1" ht="14" customHeight="1" spans="1:9">
      <c r="A388" s="6">
        <v>385</v>
      </c>
      <c r="B388" s="6" t="s">
        <v>63</v>
      </c>
      <c r="C388" s="6" t="str">
        <f>"刘丽萍"</f>
        <v>刘丽萍</v>
      </c>
      <c r="D388" s="6" t="str">
        <f>"20200101907"</f>
        <v>20200101907</v>
      </c>
      <c r="E388" s="7">
        <v>92.7</v>
      </c>
      <c r="F388" s="7">
        <v>103.74</v>
      </c>
      <c r="G388" s="7">
        <v>99.32</v>
      </c>
      <c r="H388" s="7"/>
      <c r="I388" s="7">
        <v>99.32</v>
      </c>
    </row>
    <row r="389" s="1" customFormat="1" ht="14" customHeight="1" spans="1:9">
      <c r="A389" s="6">
        <v>386</v>
      </c>
      <c r="B389" s="6" t="s">
        <v>63</v>
      </c>
      <c r="C389" s="6" t="str">
        <f>"张静"</f>
        <v>张静</v>
      </c>
      <c r="D389" s="6" t="str">
        <f>"20200101925"</f>
        <v>20200101925</v>
      </c>
      <c r="E389" s="7">
        <v>97.2</v>
      </c>
      <c r="F389" s="7">
        <v>100.26</v>
      </c>
      <c r="G389" s="7">
        <v>99.04</v>
      </c>
      <c r="H389" s="7"/>
      <c r="I389" s="7">
        <v>99.04</v>
      </c>
    </row>
    <row r="390" s="1" customFormat="1" ht="14" customHeight="1" spans="1:9">
      <c r="A390" s="6">
        <v>387</v>
      </c>
      <c r="B390" s="6" t="s">
        <v>63</v>
      </c>
      <c r="C390" s="6" t="str">
        <f>"王玲"</f>
        <v>王玲</v>
      </c>
      <c r="D390" s="6" t="str">
        <f>"20200101530"</f>
        <v>20200101530</v>
      </c>
      <c r="E390" s="7">
        <v>93.2</v>
      </c>
      <c r="F390" s="7">
        <v>102.32</v>
      </c>
      <c r="G390" s="7">
        <v>98.67</v>
      </c>
      <c r="H390" s="7"/>
      <c r="I390" s="7">
        <v>98.67</v>
      </c>
    </row>
    <row r="391" s="1" customFormat="1" ht="14" customHeight="1" spans="1:9">
      <c r="A391" s="6">
        <v>388</v>
      </c>
      <c r="B391" s="6" t="s">
        <v>63</v>
      </c>
      <c r="C391" s="6" t="str">
        <f>"谢丽军"</f>
        <v>谢丽军</v>
      </c>
      <c r="D391" s="6" t="str">
        <f>"20200102008"</f>
        <v>20200102008</v>
      </c>
      <c r="E391" s="7">
        <v>99.55</v>
      </c>
      <c r="F391" s="7">
        <v>97.78</v>
      </c>
      <c r="G391" s="7">
        <v>98.49</v>
      </c>
      <c r="H391" s="7"/>
      <c r="I391" s="7">
        <v>98.49</v>
      </c>
    </row>
    <row r="392" s="1" customFormat="1" ht="14" customHeight="1" spans="1:9">
      <c r="A392" s="6">
        <v>389</v>
      </c>
      <c r="B392" s="6" t="s">
        <v>63</v>
      </c>
      <c r="C392" s="6" t="str">
        <f>"郑继荣"</f>
        <v>郑继荣</v>
      </c>
      <c r="D392" s="6" t="str">
        <f>"20200101522"</f>
        <v>20200101522</v>
      </c>
      <c r="E392" s="7">
        <v>94.15</v>
      </c>
      <c r="F392" s="7">
        <v>100.28</v>
      </c>
      <c r="G392" s="7">
        <v>97.83</v>
      </c>
      <c r="H392" s="7"/>
      <c r="I392" s="7">
        <v>97.83</v>
      </c>
    </row>
    <row r="393" s="1" customFormat="1" ht="14" customHeight="1" spans="1:9">
      <c r="A393" s="6">
        <v>390</v>
      </c>
      <c r="B393" s="6" t="s">
        <v>63</v>
      </c>
      <c r="C393" s="6" t="str">
        <f>"李优"</f>
        <v>李优</v>
      </c>
      <c r="D393" s="6" t="str">
        <f>"20200101524"</f>
        <v>20200101524</v>
      </c>
      <c r="E393" s="7">
        <v>88.7</v>
      </c>
      <c r="F393" s="7">
        <v>103.42</v>
      </c>
      <c r="G393" s="7">
        <v>97.53</v>
      </c>
      <c r="H393" s="7"/>
      <c r="I393" s="7">
        <v>97.53</v>
      </c>
    </row>
    <row r="394" s="1" customFormat="1" ht="14" customHeight="1" spans="1:9">
      <c r="A394" s="6">
        <v>391</v>
      </c>
      <c r="B394" s="6" t="s">
        <v>63</v>
      </c>
      <c r="C394" s="6" t="str">
        <f>"夏晓丽"</f>
        <v>夏晓丽</v>
      </c>
      <c r="D394" s="6" t="str">
        <f>"20200211910"</f>
        <v>20200211910</v>
      </c>
      <c r="E394" s="7">
        <v>96.15</v>
      </c>
      <c r="F394" s="7">
        <v>98.14</v>
      </c>
      <c r="G394" s="7">
        <v>97.34</v>
      </c>
      <c r="H394" s="7"/>
      <c r="I394" s="7">
        <v>97.34</v>
      </c>
    </row>
    <row r="395" s="1" customFormat="1" ht="14" customHeight="1" spans="1:9">
      <c r="A395" s="6">
        <v>392</v>
      </c>
      <c r="B395" s="6" t="s">
        <v>63</v>
      </c>
      <c r="C395" s="6" t="str">
        <f>"谭倩文"</f>
        <v>谭倩文</v>
      </c>
      <c r="D395" s="6" t="str">
        <f>"20200101721"</f>
        <v>20200101721</v>
      </c>
      <c r="E395" s="7">
        <v>91.5</v>
      </c>
      <c r="F395" s="7">
        <v>101.12</v>
      </c>
      <c r="G395" s="7">
        <v>97.27</v>
      </c>
      <c r="H395" s="7"/>
      <c r="I395" s="7">
        <v>97.27</v>
      </c>
    </row>
    <row r="396" s="1" customFormat="1" ht="14" customHeight="1" spans="1:9">
      <c r="A396" s="6">
        <v>393</v>
      </c>
      <c r="B396" s="6" t="s">
        <v>63</v>
      </c>
      <c r="C396" s="6" t="str">
        <f>"张洪印"</f>
        <v>张洪印</v>
      </c>
      <c r="D396" s="6" t="str">
        <f>"20200101619"</f>
        <v>20200101619</v>
      </c>
      <c r="E396" s="7">
        <v>89.75</v>
      </c>
      <c r="F396" s="7">
        <v>101.9</v>
      </c>
      <c r="G396" s="7">
        <v>97.04</v>
      </c>
      <c r="H396" s="7"/>
      <c r="I396" s="7">
        <v>97.04</v>
      </c>
    </row>
    <row r="397" s="1" customFormat="1" ht="14" customHeight="1" spans="1:9">
      <c r="A397" s="6">
        <v>394</v>
      </c>
      <c r="B397" s="6" t="s">
        <v>63</v>
      </c>
      <c r="C397" s="6" t="str">
        <f>"田俊朋"</f>
        <v>田俊朋</v>
      </c>
      <c r="D397" s="6" t="str">
        <f>"20200211921"</f>
        <v>20200211921</v>
      </c>
      <c r="E397" s="7">
        <v>84.15</v>
      </c>
      <c r="F397" s="7">
        <v>105.58</v>
      </c>
      <c r="G397" s="7">
        <v>97.01</v>
      </c>
      <c r="H397" s="7"/>
      <c r="I397" s="7">
        <v>97.01</v>
      </c>
    </row>
    <row r="398" s="1" customFormat="1" ht="14" customHeight="1" spans="1:9">
      <c r="A398" s="6">
        <v>395</v>
      </c>
      <c r="B398" s="6" t="s">
        <v>63</v>
      </c>
      <c r="C398" s="6" t="str">
        <f>"李永蕾"</f>
        <v>李永蕾</v>
      </c>
      <c r="D398" s="6" t="str">
        <f>"20200101815"</f>
        <v>20200101815</v>
      </c>
      <c r="E398" s="7">
        <v>92.45</v>
      </c>
      <c r="F398" s="7">
        <v>99.64</v>
      </c>
      <c r="G398" s="7">
        <v>96.76</v>
      </c>
      <c r="H398" s="7"/>
      <c r="I398" s="7">
        <v>96.76</v>
      </c>
    </row>
    <row r="399" s="1" customFormat="1" ht="14" customHeight="1" spans="1:9">
      <c r="A399" s="6">
        <v>396</v>
      </c>
      <c r="B399" s="6" t="s">
        <v>63</v>
      </c>
      <c r="C399" s="6" t="str">
        <f>"蔡苏秀"</f>
        <v>蔡苏秀</v>
      </c>
      <c r="D399" s="6" t="str">
        <f>"20200101826"</f>
        <v>20200101826</v>
      </c>
      <c r="E399" s="7">
        <v>98.45</v>
      </c>
      <c r="F399" s="7">
        <v>95.5</v>
      </c>
      <c r="G399" s="7">
        <v>96.68</v>
      </c>
      <c r="H399" s="7"/>
      <c r="I399" s="7">
        <v>96.68</v>
      </c>
    </row>
  </sheetData>
  <sortState ref="A2:AP397">
    <sortCondition ref="A2:A397"/>
  </sortState>
  <mergeCells count="1">
    <mergeCell ref="A1:I1"/>
  </mergeCells>
  <printOptions horizontalCentered="1"/>
  <pageMargins left="0.751388888888889" right="0.751388888888889" top="0.802777777777778" bottom="0.60625" header="0.5" footer="0.5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2021-01-05T09:48:00Z</dcterms:created>
  <dcterms:modified xsi:type="dcterms:W3CDTF">2021-01-08T01:45:28Z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