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拟聘名单" sheetId="1" r:id="rId1"/>
  </sheets>
  <calcPr calcId="144525"/>
</workbook>
</file>

<file path=xl/sharedStrings.xml><?xml version="1.0" encoding="utf-8"?>
<sst xmlns="http://schemas.openxmlformats.org/spreadsheetml/2006/main" count="174" uniqueCount="100">
  <si>
    <t>肥西县2020年公开招聘幼儿园教师拟聘人员名单</t>
  </si>
  <si>
    <t>序号</t>
  </si>
  <si>
    <t>报考岗位</t>
  </si>
  <si>
    <t>姓名</t>
  </si>
  <si>
    <t>性别</t>
  </si>
  <si>
    <t>准考证号</t>
  </si>
  <si>
    <t>教育教学理论</t>
  </si>
  <si>
    <t>学科专业知识及活动设计</t>
  </si>
  <si>
    <t>笔试成绩</t>
  </si>
  <si>
    <t>基层项目加分</t>
  </si>
  <si>
    <t>抽签号</t>
  </si>
  <si>
    <t>面试成绩</t>
  </si>
  <si>
    <t>合成成绩</t>
  </si>
  <si>
    <t>202001_幼儿园教师</t>
  </si>
  <si>
    <t>A16</t>
  </si>
  <si>
    <t>A18</t>
  </si>
  <si>
    <t>A11</t>
  </si>
  <si>
    <t>A06</t>
  </si>
  <si>
    <t>A03</t>
  </si>
  <si>
    <t>A10</t>
  </si>
  <si>
    <t>A02</t>
  </si>
  <si>
    <t>A04</t>
  </si>
  <si>
    <t>A15</t>
  </si>
  <si>
    <t>A01</t>
  </si>
  <si>
    <t>A08</t>
  </si>
  <si>
    <t>202002_幼儿园教师</t>
  </si>
  <si>
    <t>B08</t>
  </si>
  <si>
    <t>B02</t>
  </si>
  <si>
    <t>B13</t>
  </si>
  <si>
    <t>B17</t>
  </si>
  <si>
    <t>B19</t>
  </si>
  <si>
    <t>B05</t>
  </si>
  <si>
    <t>B04</t>
  </si>
  <si>
    <t>B11</t>
  </si>
  <si>
    <t>B14</t>
  </si>
  <si>
    <t>B10</t>
  </si>
  <si>
    <t>B15</t>
  </si>
  <si>
    <t>202003_幼儿园教师</t>
  </si>
  <si>
    <t>C06</t>
  </si>
  <si>
    <t>C03</t>
  </si>
  <si>
    <t>C15</t>
  </si>
  <si>
    <t>C14</t>
  </si>
  <si>
    <t>C04</t>
  </si>
  <si>
    <t>C05</t>
  </si>
  <si>
    <t>C17</t>
  </si>
  <si>
    <t>C01</t>
  </si>
  <si>
    <t>C07</t>
  </si>
  <si>
    <t>C21</t>
  </si>
  <si>
    <t>C02</t>
  </si>
  <si>
    <t>202004_幼儿园教师</t>
  </si>
  <si>
    <t>D17</t>
  </si>
  <si>
    <t>D15</t>
  </si>
  <si>
    <t>D06</t>
  </si>
  <si>
    <t>D16</t>
  </si>
  <si>
    <t>D21</t>
  </si>
  <si>
    <t>D09</t>
  </si>
  <si>
    <t>D07</t>
  </si>
  <si>
    <t>D05</t>
  </si>
  <si>
    <t>D10</t>
  </si>
  <si>
    <t>D20</t>
  </si>
  <si>
    <t>D01</t>
  </si>
  <si>
    <t>202005_幼儿园教师</t>
  </si>
  <si>
    <t>E07</t>
  </si>
  <si>
    <t>E20</t>
  </si>
  <si>
    <t>E16</t>
  </si>
  <si>
    <t>E17</t>
  </si>
  <si>
    <t>E08</t>
  </si>
  <si>
    <t>E03</t>
  </si>
  <si>
    <t>E13</t>
  </si>
  <si>
    <t>E06</t>
  </si>
  <si>
    <t>E12</t>
  </si>
  <si>
    <t>E18</t>
  </si>
  <si>
    <t>E05</t>
  </si>
  <si>
    <t>E15</t>
  </si>
  <si>
    <t>202006_幼儿园教师</t>
  </si>
  <si>
    <t>F16</t>
  </si>
  <si>
    <t>F21</t>
  </si>
  <si>
    <t>F22</t>
  </si>
  <si>
    <t>F18</t>
  </si>
  <si>
    <t>F19</t>
  </si>
  <si>
    <t>F13</t>
  </si>
  <si>
    <t>F08</t>
  </si>
  <si>
    <t>F02</t>
  </si>
  <si>
    <t>F20</t>
  </si>
  <si>
    <t>F14</t>
  </si>
  <si>
    <t>F10</t>
  </si>
  <si>
    <t>F07</t>
  </si>
  <si>
    <t>202007_幼儿园教师</t>
  </si>
  <si>
    <t>G07</t>
  </si>
  <si>
    <t>G10</t>
  </si>
  <si>
    <t>G22</t>
  </si>
  <si>
    <t>G12</t>
  </si>
  <si>
    <t>G09</t>
  </si>
  <si>
    <t>G05</t>
  </si>
  <si>
    <t>G17</t>
  </si>
  <si>
    <t>G16</t>
  </si>
  <si>
    <t>G06</t>
  </si>
  <si>
    <t>G03</t>
  </si>
  <si>
    <t>G13</t>
  </si>
  <si>
    <t>G23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</si>
</sst>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zoomScale="85" zoomScaleNormal="85" workbookViewId="0">
      <selection activeCell="Z14" sqref="Z14"/>
    </sheetView>
  </sheetViews>
  <sheetFormatPr defaultColWidth="9" defaultRowHeight="20.1" customHeight="1"/>
  <cols>
    <col min="1" max="1" width="6.75" style="2" customWidth="1"/>
    <col min="2" max="2" width="17.25" style="2" customWidth="1"/>
    <col min="3" max="3" width="8.375" style="2" customWidth="1"/>
    <col min="4" max="4" width="6.76666666666667" style="2" customWidth="1"/>
    <col min="5" max="5" width="11.125" style="2" customWidth="1"/>
    <col min="6" max="6" width="7.625" style="2" hidden="1" customWidth="1"/>
    <col min="7" max="7" width="7.375" style="2" hidden="1" customWidth="1"/>
    <col min="8" max="8" width="6.625" style="2" hidden="1" customWidth="1"/>
    <col min="9" max="9" width="5.625" style="2" hidden="1" customWidth="1"/>
    <col min="10" max="10" width="8.875" style="2" customWidth="1"/>
    <col min="11" max="11" width="6.5" style="3" hidden="1" customWidth="1"/>
    <col min="12" max="12" width="10" style="3" customWidth="1"/>
    <col min="13" max="13" width="10.5916666666667" style="4" customWidth="1"/>
    <col min="14" max="16384" width="9" style="2"/>
  </cols>
  <sheetData>
    <row r="1" ht="27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/>
    </row>
    <row r="2" s="1" customFormat="1" ht="29.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8</v>
      </c>
      <c r="K2" s="12" t="s">
        <v>10</v>
      </c>
      <c r="L2" s="12" t="s">
        <v>11</v>
      </c>
      <c r="M2" s="13" t="s">
        <v>12</v>
      </c>
    </row>
    <row r="3" customHeight="1" spans="1:13">
      <c r="A3" s="8">
        <v>1</v>
      </c>
      <c r="B3" s="8" t="s">
        <v>13</v>
      </c>
      <c r="C3" s="8" t="str">
        <f>"翟雯璐"</f>
        <v>翟雯璐</v>
      </c>
      <c r="D3" s="8" t="str">
        <f t="shared" ref="D3:D13" si="0">"女"</f>
        <v>女</v>
      </c>
      <c r="E3" s="8">
        <v>2008000517</v>
      </c>
      <c r="F3" s="9">
        <v>71.5</v>
      </c>
      <c r="G3" s="9">
        <v>77.5</v>
      </c>
      <c r="H3" s="10">
        <v>75.7</v>
      </c>
      <c r="I3" s="10"/>
      <c r="J3" s="14">
        <v>75.7</v>
      </c>
      <c r="K3" s="15" t="s">
        <v>14</v>
      </c>
      <c r="L3" s="15">
        <v>84.94</v>
      </c>
      <c r="M3" s="16">
        <f t="shared" ref="M3:M13" si="1">J3*0.6+L3*0.4</f>
        <v>79.396</v>
      </c>
    </row>
    <row r="4" customHeight="1" spans="1:13">
      <c r="A4" s="8">
        <v>2</v>
      </c>
      <c r="B4" s="8" t="s">
        <v>13</v>
      </c>
      <c r="C4" s="8" t="str">
        <f>"娄钰"</f>
        <v>娄钰</v>
      </c>
      <c r="D4" s="8" t="str">
        <f t="shared" si="0"/>
        <v>女</v>
      </c>
      <c r="E4" s="8">
        <v>2008000314</v>
      </c>
      <c r="F4" s="9">
        <v>78</v>
      </c>
      <c r="G4" s="9">
        <v>80.5</v>
      </c>
      <c r="H4" s="10">
        <v>79.75</v>
      </c>
      <c r="I4" s="10"/>
      <c r="J4" s="14">
        <v>79.75</v>
      </c>
      <c r="K4" s="15" t="s">
        <v>15</v>
      </c>
      <c r="L4" s="15">
        <v>76.76</v>
      </c>
      <c r="M4" s="16">
        <f t="shared" si="1"/>
        <v>78.554</v>
      </c>
    </row>
    <row r="5" customHeight="1" spans="1:13">
      <c r="A5" s="8">
        <v>3</v>
      </c>
      <c r="B5" s="8" t="s">
        <v>13</v>
      </c>
      <c r="C5" s="8" t="str">
        <f>"王晓虹"</f>
        <v>王晓虹</v>
      </c>
      <c r="D5" s="8" t="str">
        <f t="shared" si="0"/>
        <v>女</v>
      </c>
      <c r="E5" s="8">
        <v>2008000311</v>
      </c>
      <c r="F5" s="9">
        <v>73</v>
      </c>
      <c r="G5" s="9">
        <v>74.5</v>
      </c>
      <c r="H5" s="10">
        <v>74.05</v>
      </c>
      <c r="I5" s="10"/>
      <c r="J5" s="14">
        <v>74.05</v>
      </c>
      <c r="K5" s="15" t="s">
        <v>16</v>
      </c>
      <c r="L5" s="15">
        <v>82.58</v>
      </c>
      <c r="M5" s="16">
        <f t="shared" si="1"/>
        <v>77.462</v>
      </c>
    </row>
    <row r="6" customHeight="1" spans="1:13">
      <c r="A6" s="8">
        <v>4</v>
      </c>
      <c r="B6" s="8" t="s">
        <v>13</v>
      </c>
      <c r="C6" s="8" t="str">
        <f>"肖瑶"</f>
        <v>肖瑶</v>
      </c>
      <c r="D6" s="8" t="str">
        <f t="shared" si="0"/>
        <v>女</v>
      </c>
      <c r="E6" s="8">
        <v>2008000417</v>
      </c>
      <c r="F6" s="9">
        <v>62</v>
      </c>
      <c r="G6" s="9">
        <v>83</v>
      </c>
      <c r="H6" s="10">
        <v>76.7</v>
      </c>
      <c r="I6" s="10"/>
      <c r="J6" s="14">
        <v>76.7</v>
      </c>
      <c r="K6" s="15" t="s">
        <v>17</v>
      </c>
      <c r="L6" s="15">
        <v>75.86</v>
      </c>
      <c r="M6" s="16">
        <f t="shared" si="1"/>
        <v>76.364</v>
      </c>
    </row>
    <row r="7" customHeight="1" spans="1:13">
      <c r="A7" s="8">
        <v>5</v>
      </c>
      <c r="B7" s="8" t="s">
        <v>13</v>
      </c>
      <c r="C7" s="8" t="str">
        <f>"杨思雨"</f>
        <v>杨思雨</v>
      </c>
      <c r="D7" s="8" t="str">
        <f t="shared" si="0"/>
        <v>女</v>
      </c>
      <c r="E7" s="8">
        <v>2008000413</v>
      </c>
      <c r="F7" s="9">
        <v>66</v>
      </c>
      <c r="G7" s="9">
        <v>77.5</v>
      </c>
      <c r="H7" s="10">
        <v>74.05</v>
      </c>
      <c r="I7" s="10"/>
      <c r="J7" s="14">
        <v>74.05</v>
      </c>
      <c r="K7" s="15" t="s">
        <v>18</v>
      </c>
      <c r="L7" s="15">
        <v>79.56</v>
      </c>
      <c r="M7" s="16">
        <f t="shared" si="1"/>
        <v>76.254</v>
      </c>
    </row>
    <row r="8" customHeight="1" spans="1:13">
      <c r="A8" s="8">
        <v>6</v>
      </c>
      <c r="B8" s="8" t="s">
        <v>13</v>
      </c>
      <c r="C8" s="8" t="str">
        <f>"余婕"</f>
        <v>余婕</v>
      </c>
      <c r="D8" s="8" t="str">
        <f t="shared" si="0"/>
        <v>女</v>
      </c>
      <c r="E8" s="8">
        <v>2008000404</v>
      </c>
      <c r="F8" s="9">
        <v>69</v>
      </c>
      <c r="G8" s="9">
        <v>73.5</v>
      </c>
      <c r="H8" s="10">
        <v>72.15</v>
      </c>
      <c r="I8" s="10"/>
      <c r="J8" s="14">
        <v>72.15</v>
      </c>
      <c r="K8" s="15" t="s">
        <v>19</v>
      </c>
      <c r="L8" s="15">
        <v>81.96</v>
      </c>
      <c r="M8" s="16">
        <f t="shared" si="1"/>
        <v>76.074</v>
      </c>
    </row>
    <row r="9" customHeight="1" spans="1:13">
      <c r="A9" s="8">
        <v>7</v>
      </c>
      <c r="B9" s="8" t="s">
        <v>13</v>
      </c>
      <c r="C9" s="8" t="str">
        <f>"牛珍莉"</f>
        <v>牛珍莉</v>
      </c>
      <c r="D9" s="8" t="str">
        <f t="shared" si="0"/>
        <v>女</v>
      </c>
      <c r="E9" s="8">
        <v>2008000525</v>
      </c>
      <c r="F9" s="9">
        <v>76.5</v>
      </c>
      <c r="G9" s="9">
        <v>74.5</v>
      </c>
      <c r="H9" s="10">
        <v>75.1</v>
      </c>
      <c r="I9" s="10"/>
      <c r="J9" s="14">
        <v>75.1</v>
      </c>
      <c r="K9" s="15" t="s">
        <v>20</v>
      </c>
      <c r="L9" s="15">
        <v>76.94</v>
      </c>
      <c r="M9" s="16">
        <f t="shared" si="1"/>
        <v>75.836</v>
      </c>
    </row>
    <row r="10" customHeight="1" spans="1:13">
      <c r="A10" s="8">
        <v>8</v>
      </c>
      <c r="B10" s="8" t="s">
        <v>13</v>
      </c>
      <c r="C10" s="8" t="str">
        <f>"郭云"</f>
        <v>郭云</v>
      </c>
      <c r="D10" s="8" t="str">
        <f t="shared" si="0"/>
        <v>女</v>
      </c>
      <c r="E10" s="8">
        <v>2008000408</v>
      </c>
      <c r="F10" s="9">
        <v>71.5</v>
      </c>
      <c r="G10" s="9">
        <v>77.5</v>
      </c>
      <c r="H10" s="10">
        <v>75.7</v>
      </c>
      <c r="I10" s="10"/>
      <c r="J10" s="14">
        <v>75.7</v>
      </c>
      <c r="K10" s="15" t="s">
        <v>21</v>
      </c>
      <c r="L10" s="15">
        <v>75.94</v>
      </c>
      <c r="M10" s="16">
        <f t="shared" si="1"/>
        <v>75.796</v>
      </c>
    </row>
    <row r="11" customHeight="1" spans="1:13">
      <c r="A11" s="8">
        <v>9</v>
      </c>
      <c r="B11" s="8" t="s">
        <v>13</v>
      </c>
      <c r="C11" s="8" t="str">
        <f>"夏玉梅"</f>
        <v>夏玉梅</v>
      </c>
      <c r="D11" s="8" t="str">
        <f t="shared" si="0"/>
        <v>女</v>
      </c>
      <c r="E11" s="8">
        <v>2008000229</v>
      </c>
      <c r="F11" s="9">
        <v>74.5</v>
      </c>
      <c r="G11" s="9">
        <v>77</v>
      </c>
      <c r="H11" s="10">
        <v>76.25</v>
      </c>
      <c r="I11" s="10"/>
      <c r="J11" s="14">
        <v>76.25</v>
      </c>
      <c r="K11" s="15" t="s">
        <v>22</v>
      </c>
      <c r="L11" s="15">
        <v>73.94</v>
      </c>
      <c r="M11" s="16">
        <f t="shared" si="1"/>
        <v>75.326</v>
      </c>
    </row>
    <row r="12" customHeight="1" spans="1:13">
      <c r="A12" s="8">
        <v>10</v>
      </c>
      <c r="B12" s="8" t="s">
        <v>13</v>
      </c>
      <c r="C12" s="8" t="str">
        <f>"高玉琦"</f>
        <v>高玉琦</v>
      </c>
      <c r="D12" s="8" t="str">
        <f t="shared" si="0"/>
        <v>女</v>
      </c>
      <c r="E12" s="8">
        <v>2008000203</v>
      </c>
      <c r="F12" s="9">
        <v>65.5</v>
      </c>
      <c r="G12" s="9">
        <v>75.5</v>
      </c>
      <c r="H12" s="10">
        <v>72.5</v>
      </c>
      <c r="I12" s="10"/>
      <c r="J12" s="14">
        <v>72.5</v>
      </c>
      <c r="K12" s="15" t="s">
        <v>23</v>
      </c>
      <c r="L12" s="15">
        <v>76.72</v>
      </c>
      <c r="M12" s="16">
        <f t="shared" si="1"/>
        <v>74.188</v>
      </c>
    </row>
    <row r="13" customHeight="1" spans="1:13">
      <c r="A13" s="8">
        <v>11</v>
      </c>
      <c r="B13" s="8" t="s">
        <v>13</v>
      </c>
      <c r="C13" s="8" t="str">
        <f>"裴彩玲"</f>
        <v>裴彩玲</v>
      </c>
      <c r="D13" s="8" t="str">
        <f t="shared" si="0"/>
        <v>女</v>
      </c>
      <c r="E13" s="8">
        <v>2008000105</v>
      </c>
      <c r="F13" s="9">
        <v>72.5</v>
      </c>
      <c r="G13" s="9">
        <v>71</v>
      </c>
      <c r="H13" s="10">
        <v>71.45</v>
      </c>
      <c r="I13" s="10"/>
      <c r="J13" s="14">
        <v>71.45</v>
      </c>
      <c r="K13" s="15" t="s">
        <v>24</v>
      </c>
      <c r="L13" s="15">
        <v>77.06</v>
      </c>
      <c r="M13" s="16">
        <f t="shared" si="1"/>
        <v>73.694</v>
      </c>
    </row>
    <row r="14" customHeight="1" spans="1:13">
      <c r="A14" s="8"/>
      <c r="B14" s="8"/>
      <c r="C14" s="8"/>
      <c r="D14" s="8"/>
      <c r="E14" s="8"/>
      <c r="F14" s="9"/>
      <c r="G14" s="9"/>
      <c r="H14" s="10"/>
      <c r="I14" s="10"/>
      <c r="J14" s="14"/>
      <c r="K14" s="15"/>
      <c r="L14" s="15"/>
      <c r="M14" s="16"/>
    </row>
    <row r="15" customHeight="1" spans="1:13">
      <c r="A15" s="8">
        <v>1</v>
      </c>
      <c r="B15" s="8" t="s">
        <v>25</v>
      </c>
      <c r="C15" s="8" t="str">
        <f>"马姣姣"</f>
        <v>马姣姣</v>
      </c>
      <c r="D15" s="8" t="str">
        <f t="shared" ref="D15:D25" si="2">"女"</f>
        <v>女</v>
      </c>
      <c r="E15" s="8">
        <v>2008001106</v>
      </c>
      <c r="F15" s="9">
        <v>73.5</v>
      </c>
      <c r="G15" s="9">
        <v>81.5</v>
      </c>
      <c r="H15" s="10">
        <v>79.1</v>
      </c>
      <c r="I15" s="10"/>
      <c r="J15" s="14">
        <v>79.1</v>
      </c>
      <c r="K15" s="15" t="s">
        <v>26</v>
      </c>
      <c r="L15" s="15">
        <v>74.1</v>
      </c>
      <c r="M15" s="16">
        <f t="shared" ref="M15:M25" si="3">J15*0.6+L15*0.4</f>
        <v>77.1</v>
      </c>
    </row>
    <row r="16" customHeight="1" spans="1:13">
      <c r="A16" s="8">
        <v>2</v>
      </c>
      <c r="B16" s="8" t="s">
        <v>25</v>
      </c>
      <c r="C16" s="8" t="str">
        <f>"王路雅"</f>
        <v>王路雅</v>
      </c>
      <c r="D16" s="8" t="str">
        <f t="shared" si="2"/>
        <v>女</v>
      </c>
      <c r="E16" s="8">
        <v>2008000821</v>
      </c>
      <c r="F16" s="9">
        <v>65</v>
      </c>
      <c r="G16" s="9">
        <v>83</v>
      </c>
      <c r="H16" s="10">
        <v>77.6</v>
      </c>
      <c r="I16" s="10"/>
      <c r="J16" s="14">
        <v>77.6</v>
      </c>
      <c r="K16" s="15" t="s">
        <v>27</v>
      </c>
      <c r="L16" s="15">
        <v>75.88</v>
      </c>
      <c r="M16" s="16">
        <f t="shared" si="3"/>
        <v>76.912</v>
      </c>
    </row>
    <row r="17" customHeight="1" spans="1:13">
      <c r="A17" s="8">
        <v>3</v>
      </c>
      <c r="B17" s="8" t="s">
        <v>25</v>
      </c>
      <c r="C17" s="8" t="str">
        <f>"耿丹青"</f>
        <v>耿丹青</v>
      </c>
      <c r="D17" s="8" t="str">
        <f t="shared" si="2"/>
        <v>女</v>
      </c>
      <c r="E17" s="8">
        <v>2008000829</v>
      </c>
      <c r="F17" s="9">
        <v>69.5</v>
      </c>
      <c r="G17" s="9">
        <v>79</v>
      </c>
      <c r="H17" s="10">
        <v>76.15</v>
      </c>
      <c r="I17" s="10"/>
      <c r="J17" s="14">
        <v>76.15</v>
      </c>
      <c r="K17" s="15" t="s">
        <v>28</v>
      </c>
      <c r="L17" s="15">
        <v>75.1</v>
      </c>
      <c r="M17" s="16">
        <f t="shared" si="3"/>
        <v>75.73</v>
      </c>
    </row>
    <row r="18" customHeight="1" spans="1:13">
      <c r="A18" s="8">
        <v>4</v>
      </c>
      <c r="B18" s="8" t="s">
        <v>25</v>
      </c>
      <c r="C18" s="8" t="str">
        <f>"赵丽"</f>
        <v>赵丽</v>
      </c>
      <c r="D18" s="8" t="str">
        <f t="shared" si="2"/>
        <v>女</v>
      </c>
      <c r="E18" s="8">
        <v>2008000920</v>
      </c>
      <c r="F18" s="9">
        <v>71.5</v>
      </c>
      <c r="G18" s="9">
        <v>74.5</v>
      </c>
      <c r="H18" s="10">
        <v>73.6</v>
      </c>
      <c r="I18" s="10"/>
      <c r="J18" s="14">
        <v>73.6</v>
      </c>
      <c r="K18" s="15" t="s">
        <v>29</v>
      </c>
      <c r="L18" s="15">
        <v>78.5</v>
      </c>
      <c r="M18" s="16">
        <f t="shared" si="3"/>
        <v>75.56</v>
      </c>
    </row>
    <row r="19" customHeight="1" spans="1:13">
      <c r="A19" s="8">
        <v>5</v>
      </c>
      <c r="B19" s="8" t="s">
        <v>25</v>
      </c>
      <c r="C19" s="8" t="str">
        <f>"凌羽燕"</f>
        <v>凌羽燕</v>
      </c>
      <c r="D19" s="8" t="str">
        <f t="shared" si="2"/>
        <v>女</v>
      </c>
      <c r="E19" s="8">
        <v>2008000803</v>
      </c>
      <c r="F19" s="9">
        <v>62.5</v>
      </c>
      <c r="G19" s="9">
        <v>80</v>
      </c>
      <c r="H19" s="10">
        <v>74.75</v>
      </c>
      <c r="I19" s="10"/>
      <c r="J19" s="14">
        <v>74.75</v>
      </c>
      <c r="K19" s="15" t="s">
        <v>30</v>
      </c>
      <c r="L19" s="15">
        <v>76.78</v>
      </c>
      <c r="M19" s="16">
        <f t="shared" si="3"/>
        <v>75.562</v>
      </c>
    </row>
    <row r="20" customHeight="1" spans="1:13">
      <c r="A20" s="8">
        <v>6</v>
      </c>
      <c r="B20" s="8" t="s">
        <v>25</v>
      </c>
      <c r="C20" s="8" t="str">
        <f>"张文玥"</f>
        <v>张文玥</v>
      </c>
      <c r="D20" s="8" t="str">
        <f t="shared" si="2"/>
        <v>女</v>
      </c>
      <c r="E20" s="8">
        <v>2008000910</v>
      </c>
      <c r="F20" s="9">
        <v>68.5</v>
      </c>
      <c r="G20" s="9">
        <v>77</v>
      </c>
      <c r="H20" s="10">
        <v>74.45</v>
      </c>
      <c r="I20" s="10"/>
      <c r="J20" s="14">
        <v>74.45</v>
      </c>
      <c r="K20" s="15" t="s">
        <v>31</v>
      </c>
      <c r="L20" s="15">
        <v>75.94</v>
      </c>
      <c r="M20" s="16">
        <f t="shared" si="3"/>
        <v>75.046</v>
      </c>
    </row>
    <row r="21" customHeight="1" spans="1:13">
      <c r="A21" s="8">
        <v>7</v>
      </c>
      <c r="B21" s="8" t="s">
        <v>25</v>
      </c>
      <c r="C21" s="8" t="str">
        <f>"魏欣欣"</f>
        <v>魏欣欣</v>
      </c>
      <c r="D21" s="8" t="str">
        <f t="shared" si="2"/>
        <v>女</v>
      </c>
      <c r="E21" s="8">
        <v>2008000924</v>
      </c>
      <c r="F21" s="9">
        <v>73</v>
      </c>
      <c r="G21" s="9">
        <v>75</v>
      </c>
      <c r="H21" s="10">
        <v>74.4</v>
      </c>
      <c r="I21" s="10"/>
      <c r="J21" s="14">
        <v>74.4</v>
      </c>
      <c r="K21" s="15" t="s">
        <v>32</v>
      </c>
      <c r="L21" s="15">
        <v>75.78</v>
      </c>
      <c r="M21" s="16">
        <f t="shared" si="3"/>
        <v>74.952</v>
      </c>
    </row>
    <row r="22" customHeight="1" spans="1:13">
      <c r="A22" s="8">
        <v>8</v>
      </c>
      <c r="B22" s="8" t="s">
        <v>25</v>
      </c>
      <c r="C22" s="8" t="str">
        <f>"娄莉莉"</f>
        <v>娄莉莉</v>
      </c>
      <c r="D22" s="8" t="str">
        <f t="shared" si="2"/>
        <v>女</v>
      </c>
      <c r="E22" s="8">
        <v>2008001119</v>
      </c>
      <c r="F22" s="9">
        <v>65.5</v>
      </c>
      <c r="G22" s="9">
        <v>78</v>
      </c>
      <c r="H22" s="10">
        <v>74.25</v>
      </c>
      <c r="I22" s="10"/>
      <c r="J22" s="14">
        <v>74.25</v>
      </c>
      <c r="K22" s="15" t="s">
        <v>33</v>
      </c>
      <c r="L22" s="15">
        <v>75.98</v>
      </c>
      <c r="M22" s="16">
        <f t="shared" si="3"/>
        <v>74.942</v>
      </c>
    </row>
    <row r="23" customHeight="1" spans="1:13">
      <c r="A23" s="8">
        <v>9</v>
      </c>
      <c r="B23" s="8" t="s">
        <v>25</v>
      </c>
      <c r="C23" s="8" t="str">
        <f>"钟敏慧"</f>
        <v>钟敏慧</v>
      </c>
      <c r="D23" s="8" t="str">
        <f t="shared" si="2"/>
        <v>女</v>
      </c>
      <c r="E23" s="8">
        <v>2008000624</v>
      </c>
      <c r="F23" s="9">
        <v>71.5</v>
      </c>
      <c r="G23" s="9">
        <v>75</v>
      </c>
      <c r="H23" s="10">
        <v>73.95</v>
      </c>
      <c r="I23" s="10"/>
      <c r="J23" s="14">
        <v>73.95</v>
      </c>
      <c r="K23" s="15" t="s">
        <v>34</v>
      </c>
      <c r="L23" s="15">
        <v>76.26</v>
      </c>
      <c r="M23" s="16">
        <f t="shared" si="3"/>
        <v>74.874</v>
      </c>
    </row>
    <row r="24" customHeight="1" spans="1:13">
      <c r="A24" s="8">
        <v>10</v>
      </c>
      <c r="B24" s="8" t="s">
        <v>25</v>
      </c>
      <c r="C24" s="8" t="str">
        <f>"吕欠南"</f>
        <v>吕欠南</v>
      </c>
      <c r="D24" s="8" t="str">
        <f t="shared" si="2"/>
        <v>女</v>
      </c>
      <c r="E24" s="8">
        <v>2008001026</v>
      </c>
      <c r="F24" s="9">
        <v>67.5</v>
      </c>
      <c r="G24" s="9">
        <v>77</v>
      </c>
      <c r="H24" s="10">
        <v>74.15</v>
      </c>
      <c r="I24" s="10"/>
      <c r="J24" s="14">
        <v>74.15</v>
      </c>
      <c r="K24" s="15" t="s">
        <v>35</v>
      </c>
      <c r="L24" s="15">
        <v>75.14</v>
      </c>
      <c r="M24" s="16">
        <f t="shared" si="3"/>
        <v>74.546</v>
      </c>
    </row>
    <row r="25" customHeight="1" spans="1:13">
      <c r="A25" s="8">
        <v>11</v>
      </c>
      <c r="B25" s="8" t="s">
        <v>25</v>
      </c>
      <c r="C25" s="8" t="str">
        <f>"刘洁"</f>
        <v>刘洁</v>
      </c>
      <c r="D25" s="8" t="str">
        <f t="shared" si="2"/>
        <v>女</v>
      </c>
      <c r="E25" s="8">
        <v>2008000814</v>
      </c>
      <c r="F25" s="9">
        <v>64.5</v>
      </c>
      <c r="G25" s="9">
        <v>77</v>
      </c>
      <c r="H25" s="10">
        <v>73.25</v>
      </c>
      <c r="I25" s="10"/>
      <c r="J25" s="14">
        <v>73.25</v>
      </c>
      <c r="K25" s="15" t="s">
        <v>36</v>
      </c>
      <c r="L25" s="15">
        <v>74.76</v>
      </c>
      <c r="M25" s="16">
        <f t="shared" si="3"/>
        <v>73.854</v>
      </c>
    </row>
    <row r="26" customHeight="1" spans="1:13">
      <c r="A26" s="8"/>
      <c r="B26" s="8"/>
      <c r="C26" s="8"/>
      <c r="D26" s="8"/>
      <c r="E26" s="8"/>
      <c r="F26" s="9"/>
      <c r="G26" s="9"/>
      <c r="H26" s="10"/>
      <c r="I26" s="10"/>
      <c r="J26" s="14"/>
      <c r="K26" s="15"/>
      <c r="L26" s="15"/>
      <c r="M26" s="16"/>
    </row>
    <row r="27" customHeight="1" spans="1:13">
      <c r="A27" s="8">
        <v>1</v>
      </c>
      <c r="B27" s="8" t="s">
        <v>37</v>
      </c>
      <c r="C27" s="8" t="str">
        <f>"金闪闪"</f>
        <v>金闪闪</v>
      </c>
      <c r="D27" s="8" t="str">
        <f t="shared" ref="D27:D37" si="4">"女"</f>
        <v>女</v>
      </c>
      <c r="E27" s="8">
        <v>2008001711</v>
      </c>
      <c r="F27" s="9">
        <v>69</v>
      </c>
      <c r="G27" s="9">
        <v>87</v>
      </c>
      <c r="H27" s="10">
        <v>81.6</v>
      </c>
      <c r="I27" s="10"/>
      <c r="J27" s="14">
        <v>81.6</v>
      </c>
      <c r="K27" s="15" t="s">
        <v>38</v>
      </c>
      <c r="L27" s="15">
        <v>78.74</v>
      </c>
      <c r="M27" s="16">
        <f t="shared" ref="M27:M37" si="5">J27*0.6+L27*0.4</f>
        <v>80.456</v>
      </c>
    </row>
    <row r="28" customHeight="1" spans="1:13">
      <c r="A28" s="8">
        <v>2</v>
      </c>
      <c r="B28" s="8" t="s">
        <v>37</v>
      </c>
      <c r="C28" s="8" t="str">
        <f>"陈楠洁"</f>
        <v>陈楠洁</v>
      </c>
      <c r="D28" s="8" t="str">
        <f t="shared" si="4"/>
        <v>女</v>
      </c>
      <c r="E28" s="8">
        <v>2008001505</v>
      </c>
      <c r="F28" s="9">
        <v>71</v>
      </c>
      <c r="G28" s="9">
        <v>82.5</v>
      </c>
      <c r="H28" s="10">
        <v>79.05</v>
      </c>
      <c r="I28" s="10"/>
      <c r="J28" s="14">
        <v>79.05</v>
      </c>
      <c r="K28" s="15" t="s">
        <v>39</v>
      </c>
      <c r="L28" s="15">
        <v>81.86</v>
      </c>
      <c r="M28" s="16">
        <f t="shared" si="5"/>
        <v>80.174</v>
      </c>
    </row>
    <row r="29" customHeight="1" spans="1:13">
      <c r="A29" s="8">
        <v>3</v>
      </c>
      <c r="B29" s="8" t="s">
        <v>37</v>
      </c>
      <c r="C29" s="8" t="str">
        <f>"田豪杰"</f>
        <v>田豪杰</v>
      </c>
      <c r="D29" s="8" t="str">
        <f t="shared" si="4"/>
        <v>女</v>
      </c>
      <c r="E29" s="8">
        <v>2008001427</v>
      </c>
      <c r="F29" s="9">
        <v>70</v>
      </c>
      <c r="G29" s="9">
        <v>81.5</v>
      </c>
      <c r="H29" s="10">
        <v>78.05</v>
      </c>
      <c r="I29" s="10"/>
      <c r="J29" s="14">
        <v>78.05</v>
      </c>
      <c r="K29" s="15" t="s">
        <v>40</v>
      </c>
      <c r="L29" s="15">
        <v>81.92</v>
      </c>
      <c r="M29" s="16">
        <f t="shared" si="5"/>
        <v>79.598</v>
      </c>
    </row>
    <row r="30" customHeight="1" spans="1:13">
      <c r="A30" s="8">
        <v>4</v>
      </c>
      <c r="B30" s="8" t="s">
        <v>37</v>
      </c>
      <c r="C30" s="8" t="str">
        <f>"蔚静"</f>
        <v>蔚静</v>
      </c>
      <c r="D30" s="8" t="str">
        <f t="shared" si="4"/>
        <v>女</v>
      </c>
      <c r="E30" s="8">
        <v>2008001515</v>
      </c>
      <c r="F30" s="9">
        <v>68</v>
      </c>
      <c r="G30" s="9">
        <v>82.5</v>
      </c>
      <c r="H30" s="10">
        <v>78.15</v>
      </c>
      <c r="I30" s="10"/>
      <c r="J30" s="14">
        <v>78.15</v>
      </c>
      <c r="K30" s="15" t="s">
        <v>41</v>
      </c>
      <c r="L30" s="15">
        <v>81.12</v>
      </c>
      <c r="M30" s="16">
        <f t="shared" si="5"/>
        <v>79.338</v>
      </c>
    </row>
    <row r="31" customHeight="1" spans="1:13">
      <c r="A31" s="8">
        <v>5</v>
      </c>
      <c r="B31" s="8" t="s">
        <v>37</v>
      </c>
      <c r="C31" s="8" t="str">
        <f>"杨雨柔"</f>
        <v>杨雨柔</v>
      </c>
      <c r="D31" s="8" t="str">
        <f t="shared" si="4"/>
        <v>女</v>
      </c>
      <c r="E31" s="8">
        <v>2008001501</v>
      </c>
      <c r="F31" s="9">
        <v>75.5</v>
      </c>
      <c r="G31" s="9">
        <v>78</v>
      </c>
      <c r="H31" s="10">
        <v>77.25</v>
      </c>
      <c r="I31" s="10"/>
      <c r="J31" s="14">
        <v>77.25</v>
      </c>
      <c r="K31" s="15" t="s">
        <v>42</v>
      </c>
      <c r="L31" s="15">
        <v>79.62</v>
      </c>
      <c r="M31" s="16">
        <f t="shared" si="5"/>
        <v>78.198</v>
      </c>
    </row>
    <row r="32" customHeight="1" spans="1:13">
      <c r="A32" s="8">
        <v>6</v>
      </c>
      <c r="B32" s="8" t="s">
        <v>37</v>
      </c>
      <c r="C32" s="8" t="str">
        <f>"汪金平"</f>
        <v>汪金平</v>
      </c>
      <c r="D32" s="8" t="str">
        <f t="shared" si="4"/>
        <v>女</v>
      </c>
      <c r="E32" s="8">
        <v>2008001412</v>
      </c>
      <c r="F32" s="9">
        <v>66.5</v>
      </c>
      <c r="G32" s="9">
        <v>81.5</v>
      </c>
      <c r="H32" s="10">
        <v>77</v>
      </c>
      <c r="I32" s="10"/>
      <c r="J32" s="14">
        <v>77</v>
      </c>
      <c r="K32" s="15" t="s">
        <v>43</v>
      </c>
      <c r="L32" s="15">
        <v>78.62</v>
      </c>
      <c r="M32" s="16">
        <f t="shared" si="5"/>
        <v>77.648</v>
      </c>
    </row>
    <row r="33" customHeight="1" spans="1:13">
      <c r="A33" s="8">
        <v>7</v>
      </c>
      <c r="B33" s="8" t="s">
        <v>37</v>
      </c>
      <c r="C33" s="8" t="str">
        <f>"汪杨"</f>
        <v>汪杨</v>
      </c>
      <c r="D33" s="8" t="str">
        <f t="shared" si="4"/>
        <v>女</v>
      </c>
      <c r="E33" s="8">
        <v>2008001326</v>
      </c>
      <c r="F33" s="9">
        <v>73.5</v>
      </c>
      <c r="G33" s="9">
        <v>73.5</v>
      </c>
      <c r="H33" s="10">
        <v>73.5</v>
      </c>
      <c r="I33" s="10"/>
      <c r="J33" s="14">
        <v>73.5</v>
      </c>
      <c r="K33" s="15" t="s">
        <v>44</v>
      </c>
      <c r="L33" s="15">
        <v>82.36</v>
      </c>
      <c r="M33" s="16">
        <f t="shared" si="5"/>
        <v>77.044</v>
      </c>
    </row>
    <row r="34" customHeight="1" spans="1:13">
      <c r="A34" s="8">
        <v>8</v>
      </c>
      <c r="B34" s="8" t="s">
        <v>37</v>
      </c>
      <c r="C34" s="8" t="str">
        <f>"王宝倩"</f>
        <v>王宝倩</v>
      </c>
      <c r="D34" s="8" t="str">
        <f t="shared" si="4"/>
        <v>女</v>
      </c>
      <c r="E34" s="8">
        <v>2008001623</v>
      </c>
      <c r="F34" s="9">
        <v>73</v>
      </c>
      <c r="G34" s="9">
        <v>81</v>
      </c>
      <c r="H34" s="10">
        <v>78.6</v>
      </c>
      <c r="I34" s="10"/>
      <c r="J34" s="14">
        <v>78.6</v>
      </c>
      <c r="K34" s="15" t="s">
        <v>45</v>
      </c>
      <c r="L34" s="15">
        <v>74.6</v>
      </c>
      <c r="M34" s="16">
        <f t="shared" si="5"/>
        <v>77</v>
      </c>
    </row>
    <row r="35" customHeight="1" spans="1:13">
      <c r="A35" s="8">
        <v>9</v>
      </c>
      <c r="B35" s="8" t="s">
        <v>37</v>
      </c>
      <c r="C35" s="8" t="str">
        <f>"汪倩玉"</f>
        <v>汪倩玉</v>
      </c>
      <c r="D35" s="8" t="str">
        <f t="shared" si="4"/>
        <v>女</v>
      </c>
      <c r="E35" s="8">
        <v>2008001304</v>
      </c>
      <c r="F35" s="9">
        <v>67</v>
      </c>
      <c r="G35" s="9">
        <v>79.5</v>
      </c>
      <c r="H35" s="10">
        <v>75.75</v>
      </c>
      <c r="I35" s="10"/>
      <c r="J35" s="14">
        <v>75.75</v>
      </c>
      <c r="K35" s="15" t="s">
        <v>46</v>
      </c>
      <c r="L35" s="15">
        <v>77.02</v>
      </c>
      <c r="M35" s="16">
        <f t="shared" si="5"/>
        <v>76.258</v>
      </c>
    </row>
    <row r="36" customHeight="1" spans="1:13">
      <c r="A36" s="8">
        <v>10</v>
      </c>
      <c r="B36" s="8" t="s">
        <v>37</v>
      </c>
      <c r="C36" s="8" t="str">
        <f>"李雯雯"</f>
        <v>李雯雯</v>
      </c>
      <c r="D36" s="8" t="str">
        <f t="shared" si="4"/>
        <v>女</v>
      </c>
      <c r="E36" s="8">
        <v>2008001726</v>
      </c>
      <c r="F36" s="9">
        <v>62.5</v>
      </c>
      <c r="G36" s="9">
        <v>82</v>
      </c>
      <c r="H36" s="10">
        <v>76.15</v>
      </c>
      <c r="I36" s="10"/>
      <c r="J36" s="14">
        <v>76.15</v>
      </c>
      <c r="K36" s="15" t="s">
        <v>47</v>
      </c>
      <c r="L36" s="15">
        <v>75.5</v>
      </c>
      <c r="M36" s="16">
        <f t="shared" si="5"/>
        <v>75.89</v>
      </c>
    </row>
    <row r="37" customHeight="1" spans="1:13">
      <c r="A37" s="8">
        <v>11</v>
      </c>
      <c r="B37" s="8" t="s">
        <v>37</v>
      </c>
      <c r="C37" s="8" t="str">
        <f>"王珊珊"</f>
        <v>王珊珊</v>
      </c>
      <c r="D37" s="8" t="str">
        <f t="shared" si="4"/>
        <v>女</v>
      </c>
      <c r="E37" s="8">
        <v>2008001320</v>
      </c>
      <c r="F37" s="9">
        <v>61</v>
      </c>
      <c r="G37" s="9">
        <v>79.5</v>
      </c>
      <c r="H37" s="10">
        <v>73.95</v>
      </c>
      <c r="I37" s="10"/>
      <c r="J37" s="14">
        <v>73.95</v>
      </c>
      <c r="K37" s="15" t="s">
        <v>48</v>
      </c>
      <c r="L37" s="15">
        <v>78.04</v>
      </c>
      <c r="M37" s="16">
        <f t="shared" si="5"/>
        <v>75.586</v>
      </c>
    </row>
    <row r="38" customHeight="1" spans="1:13">
      <c r="A38" s="8"/>
      <c r="B38" s="8"/>
      <c r="C38" s="8"/>
      <c r="D38" s="8"/>
      <c r="E38" s="8"/>
      <c r="F38" s="9"/>
      <c r="G38" s="9"/>
      <c r="H38" s="10"/>
      <c r="I38" s="10"/>
      <c r="J38" s="14"/>
      <c r="K38" s="15"/>
      <c r="L38" s="15"/>
      <c r="M38" s="16"/>
    </row>
    <row r="39" customHeight="1" spans="1:13">
      <c r="A39" s="8">
        <v>1</v>
      </c>
      <c r="B39" s="8" t="s">
        <v>49</v>
      </c>
      <c r="C39" s="8" t="str">
        <f>"孙玉洁"</f>
        <v>孙玉洁</v>
      </c>
      <c r="D39" s="8" t="str">
        <f t="shared" ref="D39:D49" si="6">"女"</f>
        <v>女</v>
      </c>
      <c r="E39" s="8">
        <v>2008002110</v>
      </c>
      <c r="F39" s="9">
        <v>68</v>
      </c>
      <c r="G39" s="9">
        <v>82</v>
      </c>
      <c r="H39" s="10">
        <v>77.8</v>
      </c>
      <c r="I39" s="10"/>
      <c r="J39" s="14">
        <v>77.8</v>
      </c>
      <c r="K39" s="15" t="s">
        <v>50</v>
      </c>
      <c r="L39" s="15">
        <v>82.74</v>
      </c>
      <c r="M39" s="16">
        <f t="shared" ref="M39:M49" si="7">J39*0.6+L39*0.4</f>
        <v>79.776</v>
      </c>
    </row>
    <row r="40" customHeight="1" spans="1:13">
      <c r="A40" s="8">
        <v>2</v>
      </c>
      <c r="B40" s="8" t="s">
        <v>49</v>
      </c>
      <c r="C40" s="8" t="str">
        <f>"孙雨蓉"</f>
        <v>孙雨蓉</v>
      </c>
      <c r="D40" s="8" t="str">
        <f t="shared" si="6"/>
        <v>女</v>
      </c>
      <c r="E40" s="8">
        <v>2008001915</v>
      </c>
      <c r="F40" s="9">
        <v>64.5</v>
      </c>
      <c r="G40" s="9">
        <v>82</v>
      </c>
      <c r="H40" s="10">
        <v>76.75</v>
      </c>
      <c r="I40" s="10"/>
      <c r="J40" s="14">
        <v>76.75</v>
      </c>
      <c r="K40" s="15" t="s">
        <v>51</v>
      </c>
      <c r="L40" s="15">
        <v>84.08</v>
      </c>
      <c r="M40" s="16">
        <f t="shared" si="7"/>
        <v>79.682</v>
      </c>
    </row>
    <row r="41" customHeight="1" spans="1:13">
      <c r="A41" s="8">
        <v>3</v>
      </c>
      <c r="B41" s="8" t="s">
        <v>49</v>
      </c>
      <c r="C41" s="8" t="str">
        <f>"陈园"</f>
        <v>陈园</v>
      </c>
      <c r="D41" s="8" t="str">
        <f t="shared" si="6"/>
        <v>女</v>
      </c>
      <c r="E41" s="8">
        <v>2008002309</v>
      </c>
      <c r="F41" s="9">
        <v>76.5</v>
      </c>
      <c r="G41" s="9">
        <v>79.5</v>
      </c>
      <c r="H41" s="10">
        <v>78.6</v>
      </c>
      <c r="I41" s="10"/>
      <c r="J41" s="14">
        <v>78.6</v>
      </c>
      <c r="K41" s="15" t="s">
        <v>52</v>
      </c>
      <c r="L41" s="15">
        <v>81.06</v>
      </c>
      <c r="M41" s="16">
        <f t="shared" si="7"/>
        <v>79.584</v>
      </c>
    </row>
    <row r="42" customHeight="1" spans="1:13">
      <c r="A42" s="8">
        <v>4</v>
      </c>
      <c r="B42" s="8" t="s">
        <v>49</v>
      </c>
      <c r="C42" s="8" t="str">
        <f>"胡茜茜"</f>
        <v>胡茜茜</v>
      </c>
      <c r="D42" s="8" t="str">
        <f t="shared" si="6"/>
        <v>女</v>
      </c>
      <c r="E42" s="8">
        <v>2008002021</v>
      </c>
      <c r="F42" s="9">
        <v>67.5</v>
      </c>
      <c r="G42" s="9">
        <v>81.5</v>
      </c>
      <c r="H42" s="10">
        <v>77.3</v>
      </c>
      <c r="I42" s="10"/>
      <c r="J42" s="14">
        <v>77.3</v>
      </c>
      <c r="K42" s="15" t="s">
        <v>53</v>
      </c>
      <c r="L42" s="15">
        <v>82</v>
      </c>
      <c r="M42" s="16">
        <f t="shared" si="7"/>
        <v>79.18</v>
      </c>
    </row>
    <row r="43" customHeight="1" spans="1:13">
      <c r="A43" s="8">
        <v>5</v>
      </c>
      <c r="B43" s="8" t="s">
        <v>49</v>
      </c>
      <c r="C43" s="8" t="str">
        <f>"路丹丹"</f>
        <v>路丹丹</v>
      </c>
      <c r="D43" s="8" t="str">
        <f t="shared" si="6"/>
        <v>女</v>
      </c>
      <c r="E43" s="8">
        <v>2008002109</v>
      </c>
      <c r="F43" s="9">
        <v>73.5</v>
      </c>
      <c r="G43" s="9">
        <v>78.5</v>
      </c>
      <c r="H43" s="10">
        <v>77</v>
      </c>
      <c r="I43" s="10"/>
      <c r="J43" s="14">
        <v>77</v>
      </c>
      <c r="K43" s="15" t="s">
        <v>54</v>
      </c>
      <c r="L43" s="15">
        <v>81.22</v>
      </c>
      <c r="M43" s="16">
        <f t="shared" si="7"/>
        <v>78.688</v>
      </c>
    </row>
    <row r="44" customHeight="1" spans="1:13">
      <c r="A44" s="8">
        <v>6</v>
      </c>
      <c r="B44" s="8" t="s">
        <v>49</v>
      </c>
      <c r="C44" s="8" t="str">
        <f>"李秀玲"</f>
        <v>李秀玲</v>
      </c>
      <c r="D44" s="8" t="str">
        <f t="shared" si="6"/>
        <v>女</v>
      </c>
      <c r="E44" s="8">
        <v>2008002019</v>
      </c>
      <c r="F44" s="9">
        <v>60</v>
      </c>
      <c r="G44" s="9">
        <v>80.5</v>
      </c>
      <c r="H44" s="10">
        <v>74.35</v>
      </c>
      <c r="I44" s="10"/>
      <c r="J44" s="14">
        <v>74.35</v>
      </c>
      <c r="K44" s="15" t="s">
        <v>55</v>
      </c>
      <c r="L44" s="15">
        <v>85.06</v>
      </c>
      <c r="M44" s="16">
        <f t="shared" si="7"/>
        <v>78.634</v>
      </c>
    </row>
    <row r="45" customHeight="1" spans="1:13">
      <c r="A45" s="8">
        <v>7</v>
      </c>
      <c r="B45" s="8" t="s">
        <v>49</v>
      </c>
      <c r="C45" s="8" t="str">
        <f>"朱文静"</f>
        <v>朱文静</v>
      </c>
      <c r="D45" s="8" t="str">
        <f t="shared" si="6"/>
        <v>女</v>
      </c>
      <c r="E45" s="8">
        <v>2008001910</v>
      </c>
      <c r="F45" s="9">
        <v>69.5</v>
      </c>
      <c r="G45" s="9">
        <v>81</v>
      </c>
      <c r="H45" s="10">
        <v>77.55</v>
      </c>
      <c r="I45" s="10"/>
      <c r="J45" s="14">
        <v>77.55</v>
      </c>
      <c r="K45" s="15" t="s">
        <v>56</v>
      </c>
      <c r="L45" s="15">
        <v>80.22</v>
      </c>
      <c r="M45" s="16">
        <f t="shared" si="7"/>
        <v>78.618</v>
      </c>
    </row>
    <row r="46" customHeight="1" spans="1:13">
      <c r="A46" s="8">
        <v>8</v>
      </c>
      <c r="B46" s="8" t="s">
        <v>49</v>
      </c>
      <c r="C46" s="8" t="str">
        <f>"许楠"</f>
        <v>许楠</v>
      </c>
      <c r="D46" s="8" t="str">
        <f t="shared" si="6"/>
        <v>女</v>
      </c>
      <c r="E46" s="8">
        <v>2008001818</v>
      </c>
      <c r="F46" s="9">
        <v>58.5</v>
      </c>
      <c r="G46" s="9">
        <v>81</v>
      </c>
      <c r="H46" s="10">
        <v>74.25</v>
      </c>
      <c r="I46" s="10"/>
      <c r="J46" s="14">
        <v>74.25</v>
      </c>
      <c r="K46" s="15" t="s">
        <v>57</v>
      </c>
      <c r="L46" s="15">
        <v>84.56</v>
      </c>
      <c r="M46" s="16">
        <f t="shared" si="7"/>
        <v>78.374</v>
      </c>
    </row>
    <row r="47" customHeight="1" spans="1:13">
      <c r="A47" s="8">
        <v>9</v>
      </c>
      <c r="B47" s="8" t="s">
        <v>49</v>
      </c>
      <c r="C47" s="8" t="str">
        <f>"郑文"</f>
        <v>郑文</v>
      </c>
      <c r="D47" s="8" t="str">
        <f t="shared" si="6"/>
        <v>女</v>
      </c>
      <c r="E47" s="8">
        <v>2008002302</v>
      </c>
      <c r="F47" s="9">
        <v>67</v>
      </c>
      <c r="G47" s="9">
        <v>79</v>
      </c>
      <c r="H47" s="10">
        <v>75.4</v>
      </c>
      <c r="I47" s="10"/>
      <c r="J47" s="14">
        <v>75.4</v>
      </c>
      <c r="K47" s="15" t="s">
        <v>58</v>
      </c>
      <c r="L47" s="15">
        <v>82.64</v>
      </c>
      <c r="M47" s="16">
        <f t="shared" si="7"/>
        <v>78.296</v>
      </c>
    </row>
    <row r="48" customHeight="1" spans="1:13">
      <c r="A48" s="8">
        <v>10</v>
      </c>
      <c r="B48" s="8" t="s">
        <v>49</v>
      </c>
      <c r="C48" s="8" t="str">
        <f>"李佳祺"</f>
        <v>李佳祺</v>
      </c>
      <c r="D48" s="8" t="str">
        <f t="shared" si="6"/>
        <v>女</v>
      </c>
      <c r="E48" s="8">
        <v>2008002027</v>
      </c>
      <c r="F48" s="9">
        <v>65</v>
      </c>
      <c r="G48" s="9">
        <v>79.5</v>
      </c>
      <c r="H48" s="10">
        <v>75.15</v>
      </c>
      <c r="I48" s="10"/>
      <c r="J48" s="14">
        <v>75.15</v>
      </c>
      <c r="K48" s="15" t="s">
        <v>59</v>
      </c>
      <c r="L48" s="15">
        <v>82.46</v>
      </c>
      <c r="M48" s="16">
        <f t="shared" si="7"/>
        <v>78.074</v>
      </c>
    </row>
    <row r="49" customHeight="1" spans="1:13">
      <c r="A49" s="8">
        <v>11</v>
      </c>
      <c r="B49" s="8" t="s">
        <v>49</v>
      </c>
      <c r="C49" s="8" t="str">
        <f>"潘景俊"</f>
        <v>潘景俊</v>
      </c>
      <c r="D49" s="8" t="str">
        <f t="shared" si="6"/>
        <v>女</v>
      </c>
      <c r="E49" s="8">
        <v>2008002127</v>
      </c>
      <c r="F49" s="9">
        <v>62.5</v>
      </c>
      <c r="G49" s="9">
        <v>79.5</v>
      </c>
      <c r="H49" s="10">
        <v>74.4</v>
      </c>
      <c r="I49" s="10"/>
      <c r="J49" s="14">
        <v>74.4</v>
      </c>
      <c r="K49" s="15" t="s">
        <v>60</v>
      </c>
      <c r="L49" s="15">
        <v>82.8</v>
      </c>
      <c r="M49" s="16">
        <f t="shared" si="7"/>
        <v>77.76</v>
      </c>
    </row>
    <row r="50" customHeight="1" spans="1:13">
      <c r="A50" s="8"/>
      <c r="B50" s="8"/>
      <c r="C50" s="8"/>
      <c r="D50" s="8"/>
      <c r="E50" s="8"/>
      <c r="F50" s="9"/>
      <c r="G50" s="9"/>
      <c r="H50" s="10"/>
      <c r="I50" s="10"/>
      <c r="J50" s="14"/>
      <c r="K50" s="15"/>
      <c r="L50" s="15"/>
      <c r="M50" s="16"/>
    </row>
    <row r="51" customHeight="1" spans="1:13">
      <c r="A51" s="8">
        <v>1</v>
      </c>
      <c r="B51" s="8" t="s">
        <v>61</v>
      </c>
      <c r="C51" s="8" t="str">
        <f>"詹巧云"</f>
        <v>詹巧云</v>
      </c>
      <c r="D51" s="8" t="str">
        <f t="shared" ref="D51:D54" si="8">"女"</f>
        <v>女</v>
      </c>
      <c r="E51" s="8">
        <v>2008002714</v>
      </c>
      <c r="F51" s="9">
        <v>78</v>
      </c>
      <c r="G51" s="9">
        <v>84.5</v>
      </c>
      <c r="H51" s="10">
        <v>82.55</v>
      </c>
      <c r="I51" s="10"/>
      <c r="J51" s="14">
        <v>82.55</v>
      </c>
      <c r="K51" s="15" t="s">
        <v>62</v>
      </c>
      <c r="L51" s="15">
        <v>80.64</v>
      </c>
      <c r="M51" s="16">
        <f t="shared" ref="M51:M62" si="9">J51*0.6+L51*0.4</f>
        <v>81.786</v>
      </c>
    </row>
    <row r="52" customHeight="1" spans="1:13">
      <c r="A52" s="8">
        <v>2</v>
      </c>
      <c r="B52" s="8" t="s">
        <v>61</v>
      </c>
      <c r="C52" s="8" t="str">
        <f>"秦伟梦"</f>
        <v>秦伟梦</v>
      </c>
      <c r="D52" s="8" t="str">
        <f t="shared" si="8"/>
        <v>女</v>
      </c>
      <c r="E52" s="8">
        <v>2008002427</v>
      </c>
      <c r="F52" s="9">
        <v>74</v>
      </c>
      <c r="G52" s="9">
        <v>81</v>
      </c>
      <c r="H52" s="10">
        <v>78.9</v>
      </c>
      <c r="I52" s="10"/>
      <c r="J52" s="14">
        <v>78.9</v>
      </c>
      <c r="K52" s="15" t="s">
        <v>63</v>
      </c>
      <c r="L52" s="15">
        <v>80.64</v>
      </c>
      <c r="M52" s="16">
        <f t="shared" si="9"/>
        <v>79.596</v>
      </c>
    </row>
    <row r="53" customHeight="1" spans="1:13">
      <c r="A53" s="8">
        <v>3</v>
      </c>
      <c r="B53" s="8" t="s">
        <v>61</v>
      </c>
      <c r="C53" s="8" t="str">
        <f>"许佳佳"</f>
        <v>许佳佳</v>
      </c>
      <c r="D53" s="8" t="str">
        <f t="shared" si="8"/>
        <v>女</v>
      </c>
      <c r="E53" s="8">
        <v>2008002809</v>
      </c>
      <c r="F53" s="9">
        <v>69.5</v>
      </c>
      <c r="G53" s="9">
        <v>81.5</v>
      </c>
      <c r="H53" s="10">
        <v>77.9</v>
      </c>
      <c r="I53" s="10"/>
      <c r="J53" s="14">
        <v>77.9</v>
      </c>
      <c r="K53" s="15" t="s">
        <v>64</v>
      </c>
      <c r="L53" s="15">
        <v>78.76</v>
      </c>
      <c r="M53" s="16">
        <f t="shared" si="9"/>
        <v>78.244</v>
      </c>
    </row>
    <row r="54" customHeight="1" spans="1:13">
      <c r="A54" s="8">
        <v>4</v>
      </c>
      <c r="B54" s="8" t="s">
        <v>61</v>
      </c>
      <c r="C54" s="8" t="str">
        <f>"王雪"</f>
        <v>王雪</v>
      </c>
      <c r="D54" s="8" t="str">
        <f t="shared" si="8"/>
        <v>女</v>
      </c>
      <c r="E54" s="8">
        <v>2008002729</v>
      </c>
      <c r="F54" s="9">
        <v>69</v>
      </c>
      <c r="G54" s="9">
        <v>77</v>
      </c>
      <c r="H54" s="10">
        <v>74.6</v>
      </c>
      <c r="I54" s="10"/>
      <c r="J54" s="14">
        <v>74.6</v>
      </c>
      <c r="K54" s="15" t="s">
        <v>65</v>
      </c>
      <c r="L54" s="15">
        <v>83.3</v>
      </c>
      <c r="M54" s="16">
        <f t="shared" si="9"/>
        <v>78.08</v>
      </c>
    </row>
    <row r="55" customHeight="1" spans="1:13">
      <c r="A55" s="8">
        <v>5</v>
      </c>
      <c r="B55" s="8" t="s">
        <v>61</v>
      </c>
      <c r="C55" s="8" t="str">
        <f>"高小好"</f>
        <v>高小好</v>
      </c>
      <c r="D55" s="8" t="str">
        <f>"男"</f>
        <v>男</v>
      </c>
      <c r="E55" s="8">
        <v>2008002425</v>
      </c>
      <c r="F55" s="9">
        <v>66</v>
      </c>
      <c r="G55" s="9">
        <v>77.5</v>
      </c>
      <c r="H55" s="10">
        <v>74.05</v>
      </c>
      <c r="I55" s="10"/>
      <c r="J55" s="14">
        <v>74.05</v>
      </c>
      <c r="K55" s="15" t="s">
        <v>66</v>
      </c>
      <c r="L55" s="15">
        <v>82.42</v>
      </c>
      <c r="M55" s="16">
        <f t="shared" si="9"/>
        <v>77.398</v>
      </c>
    </row>
    <row r="56" customHeight="1" spans="1:13">
      <c r="A56" s="8">
        <v>6</v>
      </c>
      <c r="B56" s="8" t="s">
        <v>61</v>
      </c>
      <c r="C56" s="8" t="str">
        <f>"张晓蝶"</f>
        <v>张晓蝶</v>
      </c>
      <c r="D56" s="8" t="str">
        <f t="shared" ref="D56:D62" si="10">"女"</f>
        <v>女</v>
      </c>
      <c r="E56" s="8">
        <v>2008002507</v>
      </c>
      <c r="F56" s="9">
        <v>60.5</v>
      </c>
      <c r="G56" s="9">
        <v>80</v>
      </c>
      <c r="H56" s="10">
        <v>74.15</v>
      </c>
      <c r="I56" s="10"/>
      <c r="J56" s="14">
        <v>74.15</v>
      </c>
      <c r="K56" s="15" t="s">
        <v>67</v>
      </c>
      <c r="L56" s="15">
        <v>81.8</v>
      </c>
      <c r="M56" s="16">
        <f t="shared" si="9"/>
        <v>77.21</v>
      </c>
    </row>
    <row r="57" customHeight="1" spans="1:13">
      <c r="A57" s="8">
        <v>7</v>
      </c>
      <c r="B57" s="8" t="s">
        <v>61</v>
      </c>
      <c r="C57" s="8" t="str">
        <f>"陈静"</f>
        <v>陈静</v>
      </c>
      <c r="D57" s="8" t="str">
        <f t="shared" si="10"/>
        <v>女</v>
      </c>
      <c r="E57" s="8">
        <v>2008003014</v>
      </c>
      <c r="F57" s="9">
        <v>69.5</v>
      </c>
      <c r="G57" s="9">
        <v>78</v>
      </c>
      <c r="H57" s="10">
        <v>75.45</v>
      </c>
      <c r="I57" s="10"/>
      <c r="J57" s="14">
        <v>75.45</v>
      </c>
      <c r="K57" s="15" t="s">
        <v>68</v>
      </c>
      <c r="L57" s="15">
        <v>79.4</v>
      </c>
      <c r="M57" s="16">
        <f t="shared" si="9"/>
        <v>77.03</v>
      </c>
    </row>
    <row r="58" customHeight="1" spans="1:13">
      <c r="A58" s="8">
        <v>8</v>
      </c>
      <c r="B58" s="8" t="s">
        <v>61</v>
      </c>
      <c r="C58" s="8" t="str">
        <f>"孙妞妞"</f>
        <v>孙妞妞</v>
      </c>
      <c r="D58" s="8" t="str">
        <f t="shared" si="10"/>
        <v>女</v>
      </c>
      <c r="E58" s="8">
        <v>2008002801</v>
      </c>
      <c r="F58" s="9">
        <v>61</v>
      </c>
      <c r="G58" s="9">
        <v>79</v>
      </c>
      <c r="H58" s="10">
        <v>73.6</v>
      </c>
      <c r="I58" s="10"/>
      <c r="J58" s="14">
        <v>73.6</v>
      </c>
      <c r="K58" s="15" t="s">
        <v>69</v>
      </c>
      <c r="L58" s="15">
        <v>80.66</v>
      </c>
      <c r="M58" s="16">
        <f t="shared" si="9"/>
        <v>76.424</v>
      </c>
    </row>
    <row r="59" customHeight="1" spans="1:13">
      <c r="A59" s="8">
        <v>9</v>
      </c>
      <c r="B59" s="8" t="s">
        <v>61</v>
      </c>
      <c r="C59" s="8" t="str">
        <f>"童玥"</f>
        <v>童玥</v>
      </c>
      <c r="D59" s="8" t="str">
        <f t="shared" si="10"/>
        <v>女</v>
      </c>
      <c r="E59" s="8">
        <v>2008002521</v>
      </c>
      <c r="F59" s="9">
        <v>73.5</v>
      </c>
      <c r="G59" s="9">
        <v>74</v>
      </c>
      <c r="H59" s="10">
        <v>73.85</v>
      </c>
      <c r="I59" s="10"/>
      <c r="J59" s="14">
        <v>73.85</v>
      </c>
      <c r="K59" s="15" t="s">
        <v>70</v>
      </c>
      <c r="L59" s="15">
        <v>80.1</v>
      </c>
      <c r="M59" s="16">
        <f t="shared" si="9"/>
        <v>76.35</v>
      </c>
    </row>
    <row r="60" customHeight="1" spans="1:13">
      <c r="A60" s="8">
        <v>10</v>
      </c>
      <c r="B60" s="8" t="s">
        <v>61</v>
      </c>
      <c r="C60" s="8" t="str">
        <f>"杨静"</f>
        <v>杨静</v>
      </c>
      <c r="D60" s="8" t="str">
        <f t="shared" si="10"/>
        <v>女</v>
      </c>
      <c r="E60" s="8">
        <v>2008002504</v>
      </c>
      <c r="F60" s="9">
        <v>58</v>
      </c>
      <c r="G60" s="9">
        <v>77.5</v>
      </c>
      <c r="H60" s="10">
        <v>71.65</v>
      </c>
      <c r="I60" s="10"/>
      <c r="J60" s="14">
        <v>71.65</v>
      </c>
      <c r="K60" s="15" t="s">
        <v>71</v>
      </c>
      <c r="L60" s="15">
        <v>82.96</v>
      </c>
      <c r="M60" s="16">
        <f t="shared" si="9"/>
        <v>76.174</v>
      </c>
    </row>
    <row r="61" customHeight="1" spans="1:13">
      <c r="A61" s="8">
        <v>11</v>
      </c>
      <c r="B61" s="8" t="s">
        <v>61</v>
      </c>
      <c r="C61" s="8" t="str">
        <f>"陶凤媛"</f>
        <v>陶凤媛</v>
      </c>
      <c r="D61" s="8" t="str">
        <f t="shared" si="10"/>
        <v>女</v>
      </c>
      <c r="E61" s="8">
        <v>2008002811</v>
      </c>
      <c r="F61" s="9">
        <v>65</v>
      </c>
      <c r="G61" s="9">
        <v>76</v>
      </c>
      <c r="H61" s="10">
        <v>72.7</v>
      </c>
      <c r="I61" s="10"/>
      <c r="J61" s="14">
        <v>72.7</v>
      </c>
      <c r="K61" s="15" t="s">
        <v>72</v>
      </c>
      <c r="L61" s="15">
        <v>81.2</v>
      </c>
      <c r="M61" s="16">
        <f t="shared" si="9"/>
        <v>76.1</v>
      </c>
    </row>
    <row r="62" customHeight="1" spans="1:13">
      <c r="A62" s="8">
        <v>12</v>
      </c>
      <c r="B62" s="8" t="s">
        <v>61</v>
      </c>
      <c r="C62" s="8" t="str">
        <f>"王梓婷"</f>
        <v>王梓婷</v>
      </c>
      <c r="D62" s="8" t="str">
        <f t="shared" si="10"/>
        <v>女</v>
      </c>
      <c r="E62" s="8">
        <v>2008002417</v>
      </c>
      <c r="F62" s="9">
        <v>65</v>
      </c>
      <c r="G62" s="9">
        <v>75</v>
      </c>
      <c r="H62" s="10">
        <v>72</v>
      </c>
      <c r="I62" s="10"/>
      <c r="J62" s="14">
        <v>72</v>
      </c>
      <c r="K62" s="15" t="s">
        <v>73</v>
      </c>
      <c r="L62" s="15">
        <v>82</v>
      </c>
      <c r="M62" s="16">
        <f t="shared" si="9"/>
        <v>76</v>
      </c>
    </row>
    <row r="63" customHeight="1" spans="1:13">
      <c r="A63" s="8"/>
      <c r="B63" s="8"/>
      <c r="C63" s="8"/>
      <c r="D63" s="8"/>
      <c r="E63" s="8"/>
      <c r="F63" s="9"/>
      <c r="G63" s="9"/>
      <c r="H63" s="10"/>
      <c r="I63" s="10"/>
      <c r="J63" s="14"/>
      <c r="K63" s="15"/>
      <c r="L63" s="15"/>
      <c r="M63" s="16"/>
    </row>
    <row r="64" customHeight="1" spans="1:13">
      <c r="A64" s="8">
        <v>1</v>
      </c>
      <c r="B64" s="8" t="s">
        <v>74</v>
      </c>
      <c r="C64" s="8" t="str">
        <f>"尹晓庆"</f>
        <v>尹晓庆</v>
      </c>
      <c r="D64" s="8" t="str">
        <f t="shared" ref="D64:D75" si="11">"女"</f>
        <v>女</v>
      </c>
      <c r="E64" s="8">
        <v>2008004920</v>
      </c>
      <c r="F64" s="9">
        <v>79.5</v>
      </c>
      <c r="G64" s="9">
        <v>83.5</v>
      </c>
      <c r="H64" s="10">
        <v>82.3</v>
      </c>
      <c r="I64" s="10"/>
      <c r="J64" s="14">
        <v>82.3</v>
      </c>
      <c r="K64" s="15" t="s">
        <v>75</v>
      </c>
      <c r="L64" s="15">
        <v>82.48</v>
      </c>
      <c r="M64" s="16">
        <f t="shared" ref="M64:M75" si="12">J64*0.6+L64*0.4</f>
        <v>82.372</v>
      </c>
    </row>
    <row r="65" customHeight="1" spans="1:13">
      <c r="A65" s="8">
        <v>2</v>
      </c>
      <c r="B65" s="8" t="s">
        <v>74</v>
      </c>
      <c r="C65" s="8" t="str">
        <f>"查炜炜"</f>
        <v>查炜炜</v>
      </c>
      <c r="D65" s="8" t="str">
        <f t="shared" si="11"/>
        <v>女</v>
      </c>
      <c r="E65" s="8">
        <v>2008003716</v>
      </c>
      <c r="F65" s="9">
        <v>73.5</v>
      </c>
      <c r="G65" s="9">
        <v>83</v>
      </c>
      <c r="H65" s="10">
        <v>80.15</v>
      </c>
      <c r="I65" s="10"/>
      <c r="J65" s="14">
        <v>80.15</v>
      </c>
      <c r="K65" s="15" t="s">
        <v>76</v>
      </c>
      <c r="L65" s="15">
        <v>83.78</v>
      </c>
      <c r="M65" s="16">
        <f t="shared" si="12"/>
        <v>81.602</v>
      </c>
    </row>
    <row r="66" customHeight="1" spans="1:13">
      <c r="A66" s="8">
        <v>3</v>
      </c>
      <c r="B66" s="8" t="s">
        <v>74</v>
      </c>
      <c r="C66" s="8" t="str">
        <f>"倪文静"</f>
        <v>倪文静</v>
      </c>
      <c r="D66" s="8" t="str">
        <f t="shared" si="11"/>
        <v>女</v>
      </c>
      <c r="E66" s="8">
        <v>2008004220</v>
      </c>
      <c r="F66" s="9">
        <v>75.5</v>
      </c>
      <c r="G66" s="9">
        <v>84.5</v>
      </c>
      <c r="H66" s="10">
        <v>81.8</v>
      </c>
      <c r="I66" s="10"/>
      <c r="J66" s="14">
        <v>81.8</v>
      </c>
      <c r="K66" s="15" t="s">
        <v>77</v>
      </c>
      <c r="L66" s="15">
        <v>79.74</v>
      </c>
      <c r="M66" s="16">
        <f t="shared" si="12"/>
        <v>80.976</v>
      </c>
    </row>
    <row r="67" customHeight="1" spans="1:13">
      <c r="A67" s="8">
        <v>4</v>
      </c>
      <c r="B67" s="8" t="s">
        <v>74</v>
      </c>
      <c r="C67" s="8" t="str">
        <f>"盛洁"</f>
        <v>盛洁</v>
      </c>
      <c r="D67" s="8" t="str">
        <f t="shared" si="11"/>
        <v>女</v>
      </c>
      <c r="E67" s="8">
        <v>2008003613</v>
      </c>
      <c r="F67" s="9">
        <v>73</v>
      </c>
      <c r="G67" s="9">
        <v>83.5</v>
      </c>
      <c r="H67" s="10">
        <v>80.35</v>
      </c>
      <c r="I67" s="10"/>
      <c r="J67" s="14">
        <v>80.35</v>
      </c>
      <c r="K67" s="15" t="s">
        <v>78</v>
      </c>
      <c r="L67" s="15">
        <v>81.36</v>
      </c>
      <c r="M67" s="16">
        <f t="shared" si="12"/>
        <v>80.754</v>
      </c>
    </row>
    <row r="68" customHeight="1" spans="1:13">
      <c r="A68" s="8">
        <v>5</v>
      </c>
      <c r="B68" s="8" t="s">
        <v>74</v>
      </c>
      <c r="C68" s="8" t="str">
        <f>"刘媛媛"</f>
        <v>刘媛媛</v>
      </c>
      <c r="D68" s="8" t="str">
        <f t="shared" si="11"/>
        <v>女</v>
      </c>
      <c r="E68" s="8">
        <v>2008003611</v>
      </c>
      <c r="F68" s="9">
        <v>71</v>
      </c>
      <c r="G68" s="9">
        <v>84</v>
      </c>
      <c r="H68" s="10">
        <v>80.1</v>
      </c>
      <c r="I68" s="10"/>
      <c r="J68" s="14">
        <v>80.1</v>
      </c>
      <c r="K68" s="15" t="s">
        <v>79</v>
      </c>
      <c r="L68" s="15">
        <v>79.87</v>
      </c>
      <c r="M68" s="16">
        <f t="shared" si="12"/>
        <v>80.008</v>
      </c>
    </row>
    <row r="69" customHeight="1" spans="1:13">
      <c r="A69" s="8">
        <v>6</v>
      </c>
      <c r="B69" s="8" t="s">
        <v>74</v>
      </c>
      <c r="C69" s="8" t="str">
        <f>"何婷婷"</f>
        <v>何婷婷</v>
      </c>
      <c r="D69" s="8" t="str">
        <f t="shared" si="11"/>
        <v>女</v>
      </c>
      <c r="E69" s="8">
        <v>2008004614</v>
      </c>
      <c r="F69" s="9">
        <v>72.5</v>
      </c>
      <c r="G69" s="9">
        <v>80</v>
      </c>
      <c r="H69" s="10">
        <v>77.75</v>
      </c>
      <c r="I69" s="10"/>
      <c r="J69" s="14">
        <v>77.75</v>
      </c>
      <c r="K69" s="15" t="s">
        <v>80</v>
      </c>
      <c r="L69" s="15">
        <v>80.57</v>
      </c>
      <c r="M69" s="16">
        <f t="shared" si="12"/>
        <v>78.878</v>
      </c>
    </row>
    <row r="70" customHeight="1" spans="1:13">
      <c r="A70" s="8">
        <v>7</v>
      </c>
      <c r="B70" s="8" t="s">
        <v>74</v>
      </c>
      <c r="C70" s="8" t="str">
        <f>"刘心"</f>
        <v>刘心</v>
      </c>
      <c r="D70" s="8" t="str">
        <f t="shared" si="11"/>
        <v>女</v>
      </c>
      <c r="E70" s="8">
        <v>2008003224</v>
      </c>
      <c r="F70" s="9">
        <v>66</v>
      </c>
      <c r="G70" s="9">
        <v>83</v>
      </c>
      <c r="H70" s="10">
        <v>77.9</v>
      </c>
      <c r="I70" s="10"/>
      <c r="J70" s="14">
        <v>77.9</v>
      </c>
      <c r="K70" s="15" t="s">
        <v>81</v>
      </c>
      <c r="L70" s="15">
        <v>79.94</v>
      </c>
      <c r="M70" s="16">
        <f t="shared" si="12"/>
        <v>78.716</v>
      </c>
    </row>
    <row r="71" customHeight="1" spans="1:13">
      <c r="A71" s="8">
        <v>8</v>
      </c>
      <c r="B71" s="8" t="s">
        <v>74</v>
      </c>
      <c r="C71" s="8" t="str">
        <f>"陈晓露"</f>
        <v>陈晓露</v>
      </c>
      <c r="D71" s="8" t="str">
        <f t="shared" si="11"/>
        <v>女</v>
      </c>
      <c r="E71" s="8">
        <v>2008003025</v>
      </c>
      <c r="F71" s="9">
        <v>64.5</v>
      </c>
      <c r="G71" s="9">
        <v>83.5</v>
      </c>
      <c r="H71" s="10">
        <v>77.8</v>
      </c>
      <c r="I71" s="10"/>
      <c r="J71" s="14">
        <v>77.8</v>
      </c>
      <c r="K71" s="15" t="s">
        <v>82</v>
      </c>
      <c r="L71" s="15">
        <v>79.64</v>
      </c>
      <c r="M71" s="16">
        <f t="shared" si="12"/>
        <v>78.536</v>
      </c>
    </row>
    <row r="72" customHeight="1" spans="1:13">
      <c r="A72" s="8">
        <v>9</v>
      </c>
      <c r="B72" s="8" t="s">
        <v>74</v>
      </c>
      <c r="C72" s="8" t="str">
        <f>"翟映云"</f>
        <v>翟映云</v>
      </c>
      <c r="D72" s="8" t="str">
        <f t="shared" si="11"/>
        <v>女</v>
      </c>
      <c r="E72" s="8">
        <v>2008005117</v>
      </c>
      <c r="F72" s="9">
        <v>69</v>
      </c>
      <c r="G72" s="9">
        <v>80</v>
      </c>
      <c r="H72" s="10">
        <v>76.7</v>
      </c>
      <c r="I72" s="10"/>
      <c r="J72" s="14">
        <v>76.7</v>
      </c>
      <c r="K72" s="15" t="s">
        <v>83</v>
      </c>
      <c r="L72" s="15">
        <v>79.66</v>
      </c>
      <c r="M72" s="16">
        <f t="shared" si="12"/>
        <v>77.884</v>
      </c>
    </row>
    <row r="73" customHeight="1" spans="1:13">
      <c r="A73" s="8">
        <v>10</v>
      </c>
      <c r="B73" s="8" t="s">
        <v>74</v>
      </c>
      <c r="C73" s="8" t="str">
        <f>"徐莹秋"</f>
        <v>徐莹秋</v>
      </c>
      <c r="D73" s="8" t="str">
        <f t="shared" si="11"/>
        <v>女</v>
      </c>
      <c r="E73" s="8">
        <v>2008004109</v>
      </c>
      <c r="F73" s="9">
        <v>69.5</v>
      </c>
      <c r="G73" s="9">
        <v>81.5</v>
      </c>
      <c r="H73" s="10">
        <v>77.9</v>
      </c>
      <c r="I73" s="10"/>
      <c r="J73" s="14">
        <v>77.9</v>
      </c>
      <c r="K73" s="15" t="s">
        <v>84</v>
      </c>
      <c r="L73" s="15">
        <v>77.78</v>
      </c>
      <c r="M73" s="16">
        <f t="shared" si="12"/>
        <v>77.852</v>
      </c>
    </row>
    <row r="74" customHeight="1" spans="1:13">
      <c r="A74" s="8">
        <v>11</v>
      </c>
      <c r="B74" s="8" t="s">
        <v>74</v>
      </c>
      <c r="C74" s="8" t="str">
        <f>"蒋梦君"</f>
        <v>蒋梦君</v>
      </c>
      <c r="D74" s="8" t="str">
        <f t="shared" si="11"/>
        <v>女</v>
      </c>
      <c r="E74" s="8">
        <v>2008003505</v>
      </c>
      <c r="F74" s="9">
        <v>69.5</v>
      </c>
      <c r="G74" s="9">
        <v>80.5</v>
      </c>
      <c r="H74" s="10">
        <v>77.2</v>
      </c>
      <c r="I74" s="10"/>
      <c r="J74" s="14">
        <v>77.2</v>
      </c>
      <c r="K74" s="15" t="s">
        <v>85</v>
      </c>
      <c r="L74" s="15">
        <v>78.75</v>
      </c>
      <c r="M74" s="16">
        <f t="shared" si="12"/>
        <v>77.82</v>
      </c>
    </row>
    <row r="75" customHeight="1" spans="1:13">
      <c r="A75" s="8">
        <v>12</v>
      </c>
      <c r="B75" s="8" t="s">
        <v>74</v>
      </c>
      <c r="C75" s="8" t="str">
        <f>"许慧"</f>
        <v>许慧</v>
      </c>
      <c r="D75" s="8" t="str">
        <f t="shared" si="11"/>
        <v>女</v>
      </c>
      <c r="E75" s="8">
        <v>2008004601</v>
      </c>
      <c r="F75" s="9">
        <v>61</v>
      </c>
      <c r="G75" s="9">
        <v>82.5</v>
      </c>
      <c r="H75" s="10">
        <v>76.05</v>
      </c>
      <c r="I75" s="10"/>
      <c r="J75" s="14">
        <v>76.05</v>
      </c>
      <c r="K75" s="15" t="s">
        <v>86</v>
      </c>
      <c r="L75" s="15">
        <v>79.18</v>
      </c>
      <c r="M75" s="16">
        <f t="shared" si="12"/>
        <v>77.302</v>
      </c>
    </row>
    <row r="76" customHeight="1" spans="1:13">
      <c r="A76" s="8"/>
      <c r="B76" s="8"/>
      <c r="C76" s="8"/>
      <c r="D76" s="8"/>
      <c r="E76" s="8"/>
      <c r="F76" s="9"/>
      <c r="G76" s="9"/>
      <c r="H76" s="10"/>
      <c r="I76" s="10"/>
      <c r="J76" s="14"/>
      <c r="K76" s="15"/>
      <c r="L76" s="15"/>
      <c r="M76" s="16"/>
    </row>
    <row r="77" customHeight="1" spans="1:13">
      <c r="A77" s="8">
        <v>1</v>
      </c>
      <c r="B77" s="8" t="s">
        <v>87</v>
      </c>
      <c r="C77" s="8" t="str">
        <f>"刘光苹"</f>
        <v>刘光苹</v>
      </c>
      <c r="D77" s="8" t="str">
        <f t="shared" ref="D77:D88" si="13">"女"</f>
        <v>女</v>
      </c>
      <c r="E77" s="8">
        <v>2008005805</v>
      </c>
      <c r="F77" s="9">
        <v>73</v>
      </c>
      <c r="G77" s="9">
        <v>85.5</v>
      </c>
      <c r="H77" s="10">
        <v>81.75</v>
      </c>
      <c r="I77" s="10"/>
      <c r="J77" s="14">
        <v>81.75</v>
      </c>
      <c r="K77" s="15" t="s">
        <v>88</v>
      </c>
      <c r="L77" s="15">
        <v>83.8</v>
      </c>
      <c r="M77" s="16">
        <f t="shared" ref="M77:M88" si="14">J77*0.6+L77*0.4</f>
        <v>82.57</v>
      </c>
    </row>
    <row r="78" customHeight="1" spans="1:13">
      <c r="A78" s="8">
        <v>2</v>
      </c>
      <c r="B78" s="8" t="s">
        <v>87</v>
      </c>
      <c r="C78" s="8" t="str">
        <f>"王英丽"</f>
        <v>王英丽</v>
      </c>
      <c r="D78" s="8" t="str">
        <f t="shared" si="13"/>
        <v>女</v>
      </c>
      <c r="E78" s="8">
        <v>2008007021</v>
      </c>
      <c r="F78" s="9">
        <v>69.5</v>
      </c>
      <c r="G78" s="9">
        <v>84</v>
      </c>
      <c r="H78" s="10">
        <v>79.65</v>
      </c>
      <c r="I78" s="10"/>
      <c r="J78" s="14">
        <v>79.65</v>
      </c>
      <c r="K78" s="15" t="s">
        <v>89</v>
      </c>
      <c r="L78" s="15">
        <v>82.84</v>
      </c>
      <c r="M78" s="16">
        <f t="shared" si="14"/>
        <v>80.926</v>
      </c>
    </row>
    <row r="79" customHeight="1" spans="1:13">
      <c r="A79" s="8">
        <v>3</v>
      </c>
      <c r="B79" s="8" t="s">
        <v>87</v>
      </c>
      <c r="C79" s="8" t="str">
        <f>"何欣"</f>
        <v>何欣</v>
      </c>
      <c r="D79" s="8" t="str">
        <f t="shared" si="13"/>
        <v>女</v>
      </c>
      <c r="E79" s="8">
        <v>2008005322</v>
      </c>
      <c r="F79" s="9">
        <v>71</v>
      </c>
      <c r="G79" s="9">
        <v>82</v>
      </c>
      <c r="H79" s="10">
        <v>78.7</v>
      </c>
      <c r="I79" s="10"/>
      <c r="J79" s="14">
        <v>78.7</v>
      </c>
      <c r="K79" s="15" t="s">
        <v>90</v>
      </c>
      <c r="L79" s="15">
        <v>82.28</v>
      </c>
      <c r="M79" s="16">
        <f t="shared" si="14"/>
        <v>80.132</v>
      </c>
    </row>
    <row r="80" customHeight="1" spans="1:13">
      <c r="A80" s="8">
        <v>4</v>
      </c>
      <c r="B80" s="8" t="s">
        <v>87</v>
      </c>
      <c r="C80" s="8" t="str">
        <f>"彭亲亲"</f>
        <v>彭亲亲</v>
      </c>
      <c r="D80" s="8" t="str">
        <f t="shared" si="13"/>
        <v>女</v>
      </c>
      <c r="E80" s="8">
        <v>2008007523</v>
      </c>
      <c r="F80" s="9">
        <v>75.5</v>
      </c>
      <c r="G80" s="9">
        <v>80</v>
      </c>
      <c r="H80" s="10">
        <v>78.65</v>
      </c>
      <c r="I80" s="10"/>
      <c r="J80" s="14">
        <v>78.65</v>
      </c>
      <c r="K80" s="15" t="s">
        <v>91</v>
      </c>
      <c r="L80" s="15">
        <v>81.16</v>
      </c>
      <c r="M80" s="16">
        <f t="shared" si="14"/>
        <v>79.654</v>
      </c>
    </row>
    <row r="81" customHeight="1" spans="1:13">
      <c r="A81" s="8">
        <v>5</v>
      </c>
      <c r="B81" s="8" t="s">
        <v>87</v>
      </c>
      <c r="C81" s="8" t="str">
        <f>"阮俊倩"</f>
        <v>阮俊倩</v>
      </c>
      <c r="D81" s="8" t="str">
        <f t="shared" si="13"/>
        <v>女</v>
      </c>
      <c r="E81" s="8">
        <v>2008006421</v>
      </c>
      <c r="F81" s="9">
        <v>70.5</v>
      </c>
      <c r="G81" s="9">
        <v>82</v>
      </c>
      <c r="H81" s="10">
        <v>78.55</v>
      </c>
      <c r="I81" s="10"/>
      <c r="J81" s="14">
        <v>78.55</v>
      </c>
      <c r="K81" s="15" t="s">
        <v>92</v>
      </c>
      <c r="L81" s="15">
        <v>80.9</v>
      </c>
      <c r="M81" s="16">
        <f t="shared" si="14"/>
        <v>79.49</v>
      </c>
    </row>
    <row r="82" customHeight="1" spans="1:13">
      <c r="A82" s="8">
        <v>6</v>
      </c>
      <c r="B82" s="8" t="s">
        <v>87</v>
      </c>
      <c r="C82" s="8" t="str">
        <f>"许有珍"</f>
        <v>许有珍</v>
      </c>
      <c r="D82" s="8" t="str">
        <f t="shared" si="13"/>
        <v>女</v>
      </c>
      <c r="E82" s="8">
        <v>2008005715</v>
      </c>
      <c r="F82" s="9">
        <v>74</v>
      </c>
      <c r="G82" s="9">
        <v>80.5</v>
      </c>
      <c r="H82" s="10">
        <v>78.55</v>
      </c>
      <c r="I82" s="10"/>
      <c r="J82" s="14">
        <v>78.55</v>
      </c>
      <c r="K82" s="15" t="s">
        <v>93</v>
      </c>
      <c r="L82" s="15">
        <v>80.68</v>
      </c>
      <c r="M82" s="16">
        <f t="shared" si="14"/>
        <v>79.402</v>
      </c>
    </row>
    <row r="83" customHeight="1" spans="1:13">
      <c r="A83" s="8">
        <v>7</v>
      </c>
      <c r="B83" s="8" t="s">
        <v>87</v>
      </c>
      <c r="C83" s="8" t="str">
        <f>"徐海艳"</f>
        <v>徐海艳</v>
      </c>
      <c r="D83" s="8" t="str">
        <f t="shared" si="13"/>
        <v>女</v>
      </c>
      <c r="E83" s="8">
        <v>2008006017</v>
      </c>
      <c r="F83" s="9">
        <v>75</v>
      </c>
      <c r="G83" s="9">
        <v>79</v>
      </c>
      <c r="H83" s="10">
        <v>77.8</v>
      </c>
      <c r="I83" s="10"/>
      <c r="J83" s="14">
        <v>77.8</v>
      </c>
      <c r="K83" s="15" t="s">
        <v>94</v>
      </c>
      <c r="L83" s="15">
        <v>81.66</v>
      </c>
      <c r="M83" s="16">
        <f t="shared" si="14"/>
        <v>79.344</v>
      </c>
    </row>
    <row r="84" customHeight="1" spans="1:13">
      <c r="A84" s="8">
        <v>8</v>
      </c>
      <c r="B84" s="8" t="s">
        <v>87</v>
      </c>
      <c r="C84" s="8" t="str">
        <f>"李洁"</f>
        <v>李洁</v>
      </c>
      <c r="D84" s="8" t="str">
        <f t="shared" si="13"/>
        <v>女</v>
      </c>
      <c r="E84" s="8">
        <v>2008007024</v>
      </c>
      <c r="F84" s="9">
        <v>76</v>
      </c>
      <c r="G84" s="9">
        <v>79</v>
      </c>
      <c r="H84" s="10">
        <v>78.1</v>
      </c>
      <c r="I84" s="10"/>
      <c r="J84" s="14">
        <v>78.1</v>
      </c>
      <c r="K84" s="15" t="s">
        <v>95</v>
      </c>
      <c r="L84" s="15">
        <v>80.96</v>
      </c>
      <c r="M84" s="16">
        <f t="shared" si="14"/>
        <v>79.244</v>
      </c>
    </row>
    <row r="85" customHeight="1" spans="1:13">
      <c r="A85" s="8">
        <v>9</v>
      </c>
      <c r="B85" s="8" t="s">
        <v>87</v>
      </c>
      <c r="C85" s="8" t="str">
        <f>"孙徐谨"</f>
        <v>孙徐谨</v>
      </c>
      <c r="D85" s="8" t="str">
        <f t="shared" si="13"/>
        <v>女</v>
      </c>
      <c r="E85" s="8">
        <v>2008006926</v>
      </c>
      <c r="F85" s="9">
        <v>66.5</v>
      </c>
      <c r="G85" s="9">
        <v>83</v>
      </c>
      <c r="H85" s="10">
        <v>78.05</v>
      </c>
      <c r="I85" s="10"/>
      <c r="J85" s="14">
        <v>78.05</v>
      </c>
      <c r="K85" s="15" t="s">
        <v>96</v>
      </c>
      <c r="L85" s="15">
        <v>80.78</v>
      </c>
      <c r="M85" s="16">
        <f t="shared" si="14"/>
        <v>79.142</v>
      </c>
    </row>
    <row r="86" customHeight="1" spans="1:13">
      <c r="A86" s="8">
        <v>10</v>
      </c>
      <c r="B86" s="8" t="s">
        <v>87</v>
      </c>
      <c r="C86" s="8" t="str">
        <f>"蒋茹茹"</f>
        <v>蒋茹茹</v>
      </c>
      <c r="D86" s="8" t="str">
        <f t="shared" si="13"/>
        <v>女</v>
      </c>
      <c r="E86" s="8">
        <v>2008005513</v>
      </c>
      <c r="F86" s="9">
        <v>57.5</v>
      </c>
      <c r="G86" s="9">
        <v>85</v>
      </c>
      <c r="H86" s="10">
        <v>76.75</v>
      </c>
      <c r="I86" s="10"/>
      <c r="J86" s="14">
        <v>76.75</v>
      </c>
      <c r="K86" s="15" t="s">
        <v>97</v>
      </c>
      <c r="L86" s="15">
        <v>82.3</v>
      </c>
      <c r="M86" s="16">
        <f t="shared" si="14"/>
        <v>78.97</v>
      </c>
    </row>
    <row r="87" customHeight="1" spans="1:13">
      <c r="A87" s="8">
        <v>11</v>
      </c>
      <c r="B87" s="8" t="s">
        <v>87</v>
      </c>
      <c r="C87" s="8" t="str">
        <f>"时芮"</f>
        <v>时芮</v>
      </c>
      <c r="D87" s="8" t="str">
        <f t="shared" si="13"/>
        <v>女</v>
      </c>
      <c r="E87" s="8">
        <v>2008007327</v>
      </c>
      <c r="F87" s="9">
        <v>63.5</v>
      </c>
      <c r="G87" s="9">
        <v>82</v>
      </c>
      <c r="H87" s="10">
        <v>76.45</v>
      </c>
      <c r="I87" s="10"/>
      <c r="J87" s="14">
        <v>76.45</v>
      </c>
      <c r="K87" s="15" t="s">
        <v>98</v>
      </c>
      <c r="L87" s="15">
        <v>81.9</v>
      </c>
      <c r="M87" s="16">
        <f t="shared" si="14"/>
        <v>78.63</v>
      </c>
    </row>
    <row r="88" customHeight="1" spans="1:13">
      <c r="A88" s="8">
        <v>12</v>
      </c>
      <c r="B88" s="8" t="s">
        <v>87</v>
      </c>
      <c r="C88" s="8" t="str">
        <f>"丁文雯"</f>
        <v>丁文雯</v>
      </c>
      <c r="D88" s="8" t="str">
        <f t="shared" si="13"/>
        <v>女</v>
      </c>
      <c r="E88" s="8">
        <v>2008005725</v>
      </c>
      <c r="F88" s="9">
        <v>66</v>
      </c>
      <c r="G88" s="9">
        <v>80.5</v>
      </c>
      <c r="H88" s="10">
        <v>76.15</v>
      </c>
      <c r="I88" s="10"/>
      <c r="J88" s="14">
        <v>76.15</v>
      </c>
      <c r="K88" s="15" t="s">
        <v>99</v>
      </c>
      <c r="L88" s="15">
        <v>81.68</v>
      </c>
      <c r="M88" s="16">
        <f t="shared" si="14"/>
        <v>78.362</v>
      </c>
    </row>
  </sheetData>
  <mergeCells count="1">
    <mergeCell ref="A1:M1"/>
  </mergeCells>
  <pageMargins left="0.66875" right="0.118055555555556" top="0.393055555555556" bottom="0.275" header="0.196527777777778" footer="0.07847222222222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2020-09-29T01:32:00Z</dcterms:created>
  <dcterms:modified xsi:type="dcterms:W3CDTF">2020-09-29T07:04:23Z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